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codeName="ThisWorkbook"/>
  <mc:AlternateContent xmlns:mc="http://schemas.openxmlformats.org/markup-compatibility/2006">
    <mc:Choice Requires="x15">
      <x15ac:absPath xmlns:x15ac="http://schemas.microsoft.com/office/spreadsheetml/2010/11/ac" url="/Users/colby/Dropbox/My Mac (MacBook-Air)/Desktop/"/>
    </mc:Choice>
  </mc:AlternateContent>
  <xr:revisionPtr revIDLastSave="0" documentId="13_ncr:1_{643037DD-8937-DE45-A210-4E83E7EB21DE}" xr6:coauthVersionLast="47" xr6:coauthVersionMax="47" xr10:uidLastSave="{00000000-0000-0000-0000-000000000000}"/>
  <workbookProtection workbookPassword="EEE5" lockStructure="1"/>
  <bookViews>
    <workbookView xWindow="0" yWindow="500" windowWidth="28800" windowHeight="16320" tabRatio="917" activeTab="1" xr2:uid="{00000000-000D-0000-FFFF-FFFF00000000}"/>
  </bookViews>
  <sheets>
    <sheet name="budget assumptions" sheetId="24" state="hidden" r:id="rId1"/>
    <sheet name="5-Year Budget" sheetId="18" r:id="rId2"/>
    <sheet name="Year 1 Cash Flow" sheetId="26" state="hidden" r:id="rId3"/>
    <sheet name="Expend by Function" sheetId="15" r:id="rId4"/>
    <sheet name="Operation of Plant" sheetId="27" r:id="rId5"/>
    <sheet name="Enrollment" sheetId="9" r:id="rId6"/>
    <sheet name="REVENUE CALC" sheetId="17" r:id="rId7"/>
    <sheet name="Staffing Wksht" sheetId="4" r:id="rId8"/>
    <sheet name="6300 and 6400" sheetId="21" r:id="rId9"/>
    <sheet name="Contract Services Wksht" sheetId="5" r:id="rId10"/>
    <sheet name="benefit breakdown" sheetId="20" r:id="rId11"/>
    <sheet name="Local Revenue Worksheet" sheetId="6" r:id="rId12"/>
    <sheet name="State Revenue Worksheet" sheetId="7" r:id="rId13"/>
    <sheet name="Federal Revenue Worksheet" sheetId="8" r:id="rId14"/>
  </sheets>
  <definedNames>
    <definedName name="_xlnm._FilterDatabase" localSheetId="8" hidden="1">'6300 and 6400'!$A$3:$V$43</definedName>
    <definedName name="_xlnm.Print_Area" localSheetId="1">'5-Year Budget'!$A$1:$I$47</definedName>
    <definedName name="_xlnm.Print_Area" localSheetId="8">'6300 and 6400'!$A$1:$K$40</definedName>
    <definedName name="_xlnm.Print_Area" localSheetId="0">'budget assumptions'!$A$1:$A$40</definedName>
    <definedName name="_xlnm.Print_Area" localSheetId="13">'Federal Revenue Worksheet'!$A$1:$J$57</definedName>
    <definedName name="_xlnm.Print_Area" localSheetId="11">'Local Revenue Worksheet'!$A$1:$J$33</definedName>
    <definedName name="_xlnm.Print_Area" localSheetId="4">'Operation of Plant'!$A$1:$F$15</definedName>
    <definedName name="_xlnm.Print_Area" localSheetId="6">'REVENUE CALC'!$A$1:$J$42</definedName>
    <definedName name="_xlnm.Print_Area" localSheetId="7">'Staffing Wksht'!$A$1:$P$66</definedName>
    <definedName name="_xlnm.Print_Area" localSheetId="12">'State Revenue Worksheet'!$A$1:$J$36</definedName>
    <definedName name="_xlnm.Print_Area" localSheetId="2">'Year 1 Cash Flow'!$A$1:$N$24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2" i="4" l="1"/>
  <c r="N62" i="4"/>
  <c r="L62" i="4"/>
  <c r="J62" i="4"/>
  <c r="I32" i="6"/>
  <c r="H32" i="6"/>
  <c r="G32" i="6"/>
  <c r="F32" i="6"/>
  <c r="P31" i="4"/>
  <c r="N31" i="4"/>
  <c r="L31" i="4"/>
  <c r="J31" i="4"/>
  <c r="H31" i="4"/>
  <c r="J61" i="4"/>
  <c r="H61" i="4"/>
  <c r="J6" i="6"/>
  <c r="I6" i="6"/>
  <c r="H6" i="6"/>
  <c r="G6" i="6"/>
  <c r="F6" i="6"/>
  <c r="J11" i="7"/>
  <c r="I11" i="7"/>
  <c r="H11" i="7"/>
  <c r="G11" i="7"/>
  <c r="F11" i="7"/>
  <c r="D4" i="21"/>
  <c r="E9" i="15" s="1"/>
  <c r="F79" i="15"/>
  <c r="G79" i="15"/>
  <c r="H79" i="15"/>
  <c r="I79" i="15"/>
  <c r="E79" i="15"/>
  <c r="F80" i="15"/>
  <c r="G80" i="15"/>
  <c r="H80" i="15"/>
  <c r="I80" i="15"/>
  <c r="E80" i="15"/>
  <c r="F72" i="15"/>
  <c r="G72" i="15"/>
  <c r="H72" i="15"/>
  <c r="I72" i="15"/>
  <c r="F64" i="15"/>
  <c r="G64" i="15"/>
  <c r="H64" i="15"/>
  <c r="I64" i="15"/>
  <c r="E64" i="15"/>
  <c r="F49" i="15"/>
  <c r="G49" i="15"/>
  <c r="H49" i="15"/>
  <c r="I49" i="15"/>
  <c r="E49" i="15"/>
  <c r="G8" i="15"/>
  <c r="H8" i="15"/>
  <c r="I8" i="15"/>
  <c r="F8" i="15"/>
  <c r="E8" i="15"/>
  <c r="V16" i="4"/>
  <c r="W6" i="4"/>
  <c r="F39" i="15"/>
  <c r="G39" i="15"/>
  <c r="H39" i="15"/>
  <c r="I39" i="15"/>
  <c r="C15" i="27"/>
  <c r="B15" i="27"/>
  <c r="D7" i="21"/>
  <c r="J40" i="4"/>
  <c r="J46" i="4"/>
  <c r="H46" i="4"/>
  <c r="J55" i="4"/>
  <c r="H55" i="4"/>
  <c r="P16" i="4"/>
  <c r="H16" i="4"/>
  <c r="J45" i="4"/>
  <c r="H45" i="4"/>
  <c r="J53" i="4"/>
  <c r="J52" i="4"/>
  <c r="H52" i="4"/>
  <c r="H53" i="4"/>
  <c r="J29" i="4"/>
  <c r="H29" i="4"/>
  <c r="J26" i="4"/>
  <c r="J27" i="4"/>
  <c r="J34" i="4"/>
  <c r="J18" i="4"/>
  <c r="H18" i="4"/>
  <c r="P20" i="4"/>
  <c r="H20" i="4"/>
  <c r="J14" i="4"/>
  <c r="H14" i="4"/>
  <c r="H26" i="4"/>
  <c r="H27" i="4"/>
  <c r="J54" i="4"/>
  <c r="H54" i="4"/>
  <c r="AF17" i="4"/>
  <c r="W17" i="4"/>
  <c r="Z17" i="4"/>
  <c r="AC17" i="4"/>
  <c r="Y8" i="4"/>
  <c r="W16" i="4"/>
  <c r="Z16" i="4"/>
  <c r="AC16" i="4"/>
  <c r="AF16" i="4"/>
  <c r="G35" i="4"/>
  <c r="P46" i="4"/>
  <c r="P39" i="4"/>
  <c r="H39" i="4"/>
  <c r="P38" i="4"/>
  <c r="H38" i="4"/>
  <c r="P32" i="4"/>
  <c r="H32" i="4"/>
  <c r="P28" i="4"/>
  <c r="H28" i="4"/>
  <c r="P18" i="4"/>
  <c r="H19" i="4"/>
  <c r="P17" i="4"/>
  <c r="H17" i="4"/>
  <c r="P15" i="4"/>
  <c r="H15" i="4"/>
  <c r="D36" i="21"/>
  <c r="E17" i="21"/>
  <c r="F17" i="21"/>
  <c r="G17" i="21"/>
  <c r="H17" i="21"/>
  <c r="D17" i="21"/>
  <c r="E24" i="15" s="1"/>
  <c r="E16" i="21"/>
  <c r="F16" i="21"/>
  <c r="G16" i="21"/>
  <c r="H16" i="21"/>
  <c r="D16" i="21"/>
  <c r="E29" i="5"/>
  <c r="E9" i="27" l="1"/>
  <c r="E10" i="27" s="1"/>
  <c r="F9" i="27"/>
  <c r="F10" i="27" s="1"/>
  <c r="D9" i="27"/>
  <c r="D10" i="27" s="1"/>
  <c r="L44" i="4"/>
  <c r="AB17" i="4" s="1"/>
  <c r="J44" i="4"/>
  <c r="Y17" i="4" s="1"/>
  <c r="O65" i="4"/>
  <c r="M65" i="4"/>
  <c r="L64" i="4"/>
  <c r="K65" i="4"/>
  <c r="J64" i="4"/>
  <c r="I65" i="4"/>
  <c r="G65" i="4"/>
  <c r="G58" i="4"/>
  <c r="G10" i="4"/>
  <c r="N56" i="4"/>
  <c r="L56" i="4"/>
  <c r="J56" i="4"/>
  <c r="J51" i="4"/>
  <c r="J50" i="4"/>
  <c r="J49" i="4"/>
  <c r="H51" i="4"/>
  <c r="H50" i="4"/>
  <c r="H49" i="4"/>
  <c r="J48" i="4"/>
  <c r="H48" i="4"/>
  <c r="P25" i="4"/>
  <c r="N25" i="4"/>
  <c r="N24" i="4"/>
  <c r="L24" i="4"/>
  <c r="L23" i="4"/>
  <c r="J23" i="4"/>
  <c r="L22" i="4"/>
  <c r="J22" i="4"/>
  <c r="J21" i="4"/>
  <c r="H21" i="4"/>
  <c r="J19" i="4"/>
  <c r="J63" i="4"/>
  <c r="F20" i="8"/>
  <c r="E39" i="15"/>
  <c r="E11" i="27" l="1"/>
  <c r="D11" i="27"/>
  <c r="D15" i="27"/>
  <c r="E15" i="27"/>
  <c r="F11" i="27"/>
  <c r="F15" i="27" s="1"/>
  <c r="E72" i="15"/>
  <c r="L30" i="4" l="1"/>
  <c r="J30" i="4"/>
  <c r="H30" i="4"/>
  <c r="P56" i="4"/>
  <c r="J47" i="4"/>
  <c r="H47" i="4"/>
  <c r="J33" i="4"/>
  <c r="H33" i="4"/>
  <c r="H5" i="4"/>
  <c r="H63" i="4"/>
  <c r="H62" i="4"/>
  <c r="V12" i="4" s="1"/>
  <c r="O10" i="4"/>
  <c r="M10" i="4"/>
  <c r="K10" i="4"/>
  <c r="I10" i="4"/>
  <c r="AH15" i="4"/>
  <c r="I94" i="15" s="1"/>
  <c r="I95" i="15" s="1"/>
  <c r="AF15" i="4"/>
  <c r="AE15" i="4"/>
  <c r="H94" i="15" s="1"/>
  <c r="H95" i="15" s="1"/>
  <c r="AC15" i="4"/>
  <c r="AB15" i="4"/>
  <c r="G94" i="15" s="1"/>
  <c r="G95" i="15" s="1"/>
  <c r="Z15" i="4"/>
  <c r="Y15" i="4"/>
  <c r="F94" i="15" s="1"/>
  <c r="F95" i="15" s="1"/>
  <c r="W15" i="4"/>
  <c r="V15" i="4"/>
  <c r="E94" i="15" s="1"/>
  <c r="E95" i="15" s="1"/>
  <c r="AI14" i="4"/>
  <c r="AH14" i="4"/>
  <c r="AF14" i="4"/>
  <c r="AE14" i="4"/>
  <c r="AC14" i="4"/>
  <c r="AB14" i="4"/>
  <c r="Z14" i="4"/>
  <c r="Y14" i="4"/>
  <c r="W14" i="4"/>
  <c r="V14" i="4"/>
  <c r="AI13" i="4"/>
  <c r="AH13" i="4"/>
  <c r="AF13" i="4"/>
  <c r="AE13" i="4"/>
  <c r="AC13" i="4"/>
  <c r="AB13" i="4"/>
  <c r="Z13" i="4"/>
  <c r="Y13" i="4"/>
  <c r="W13" i="4"/>
  <c r="V13" i="4"/>
  <c r="AI12" i="4"/>
  <c r="AF12" i="4"/>
  <c r="AC12" i="4"/>
  <c r="Z12" i="4"/>
  <c r="W12" i="4"/>
  <c r="AI11" i="4"/>
  <c r="AF11" i="4"/>
  <c r="AC11" i="4"/>
  <c r="Z11" i="4"/>
  <c r="W11" i="4"/>
  <c r="AI10" i="4"/>
  <c r="AF10" i="4"/>
  <c r="AC10" i="4"/>
  <c r="Z10" i="4"/>
  <c r="W10" i="4"/>
  <c r="AI9" i="4"/>
  <c r="AH9" i="4"/>
  <c r="I46" i="15" s="1"/>
  <c r="AF9" i="4"/>
  <c r="AE9" i="4"/>
  <c r="H46" i="15" s="1"/>
  <c r="AC9" i="4"/>
  <c r="AB9" i="4"/>
  <c r="G46" i="15" s="1"/>
  <c r="Z9" i="4"/>
  <c r="Y9" i="4"/>
  <c r="F46" i="15" s="1"/>
  <c r="W9" i="4"/>
  <c r="AL8" i="4"/>
  <c r="AI8" i="4"/>
  <c r="AI20" i="4" s="1"/>
  <c r="AF8" i="4"/>
  <c r="AF20" i="4" s="1"/>
  <c r="AC8" i="4"/>
  <c r="AC20" i="4" s="1"/>
  <c r="Z8" i="4"/>
  <c r="Z20" i="4" s="1"/>
  <c r="W8" i="4"/>
  <c r="W20" i="4" s="1"/>
  <c r="H8" i="4"/>
  <c r="V8" i="4" s="1"/>
  <c r="H9" i="4"/>
  <c r="F40" i="15"/>
  <c r="F43" i="15" s="1"/>
  <c r="E56" i="15"/>
  <c r="E59" i="15" s="1"/>
  <c r="E104" i="15"/>
  <c r="E107" i="15" s="1"/>
  <c r="E27" i="18" s="1"/>
  <c r="D59" i="15"/>
  <c r="D92" i="15"/>
  <c r="I90" i="15"/>
  <c r="H90" i="15"/>
  <c r="G90" i="15"/>
  <c r="F90" i="15"/>
  <c r="E90" i="15"/>
  <c r="I89" i="15"/>
  <c r="H89" i="15"/>
  <c r="G89" i="15"/>
  <c r="F89" i="15"/>
  <c r="E89" i="15"/>
  <c r="I86" i="15"/>
  <c r="H86" i="15"/>
  <c r="G86" i="15"/>
  <c r="F86" i="15"/>
  <c r="E86" i="15"/>
  <c r="H6" i="4"/>
  <c r="H7" i="4"/>
  <c r="J7" i="4" s="1"/>
  <c r="G12" i="9"/>
  <c r="I17" i="15" s="1"/>
  <c r="F12" i="9"/>
  <c r="E12" i="9"/>
  <c r="D12" i="9"/>
  <c r="H22" i="4"/>
  <c r="C12" i="9"/>
  <c r="B15" i="26"/>
  <c r="G10" i="21"/>
  <c r="H10" i="21"/>
  <c r="O35" i="4"/>
  <c r="M35" i="4"/>
  <c r="K35" i="4"/>
  <c r="I35" i="4"/>
  <c r="AL6" i="4"/>
  <c r="F10" i="4"/>
  <c r="E63" i="15"/>
  <c r="J57" i="4"/>
  <c r="F24" i="15"/>
  <c r="F81" i="15"/>
  <c r="F32" i="15"/>
  <c r="F35" i="15" s="1"/>
  <c r="F22" i="18" s="1"/>
  <c r="Z6" i="4"/>
  <c r="E11" i="21"/>
  <c r="E14" i="21"/>
  <c r="Z7" i="4"/>
  <c r="G24" i="15"/>
  <c r="G40" i="15"/>
  <c r="G43" i="15" s="1"/>
  <c r="G81" i="15"/>
  <c r="L25" i="4"/>
  <c r="AC6" i="4"/>
  <c r="F11" i="21"/>
  <c r="F14" i="21"/>
  <c r="AC7" i="4"/>
  <c r="AL7" i="4"/>
  <c r="H24" i="15"/>
  <c r="H40" i="15"/>
  <c r="H43" i="15" s="1"/>
  <c r="H81" i="15"/>
  <c r="AF6" i="4"/>
  <c r="G11" i="21"/>
  <c r="AF7" i="4"/>
  <c r="I24" i="15"/>
  <c r="I40" i="15"/>
  <c r="I43" i="15" s="1"/>
  <c r="I81" i="15"/>
  <c r="AI6" i="4"/>
  <c r="H11" i="21"/>
  <c r="AI7" i="4"/>
  <c r="E81" i="15"/>
  <c r="H23" i="4"/>
  <c r="H24" i="4"/>
  <c r="H25" i="4"/>
  <c r="H34" i="4"/>
  <c r="H40" i="4"/>
  <c r="H44" i="4"/>
  <c r="V17" i="4" s="1"/>
  <c r="D11" i="21"/>
  <c r="E10" i="15" s="1"/>
  <c r="W7" i="4"/>
  <c r="E40" i="15"/>
  <c r="E32" i="15"/>
  <c r="E35" i="15" s="1"/>
  <c r="E22" i="18" s="1"/>
  <c r="G32" i="15"/>
  <c r="G35" i="15" s="1"/>
  <c r="G22" i="18" s="1"/>
  <c r="H32" i="15"/>
  <c r="I32" i="15"/>
  <c r="I35" i="15" s="1"/>
  <c r="I22" i="18" s="1"/>
  <c r="B35" i="17"/>
  <c r="G4" i="20"/>
  <c r="B6" i="20"/>
  <c r="D8" i="5"/>
  <c r="E8" i="5"/>
  <c r="F8" i="5"/>
  <c r="G8" i="5"/>
  <c r="H8" i="5"/>
  <c r="I8" i="5"/>
  <c r="D14" i="5"/>
  <c r="D19" i="5"/>
  <c r="F29" i="5"/>
  <c r="G27" i="5"/>
  <c r="G29" i="5" s="1"/>
  <c r="H27" i="5"/>
  <c r="H29" i="5" s="1"/>
  <c r="I27" i="5"/>
  <c r="I29" i="5" s="1"/>
  <c r="D29" i="5"/>
  <c r="J24" i="4"/>
  <c r="J25" i="4"/>
  <c r="G41" i="4"/>
  <c r="G67" i="4" s="1"/>
  <c r="I41" i="4"/>
  <c r="I58" i="4"/>
  <c r="K41" i="4"/>
  <c r="M41" i="4"/>
  <c r="M58" i="4"/>
  <c r="O41" i="4"/>
  <c r="K58" i="4"/>
  <c r="O58" i="4"/>
  <c r="D11" i="15"/>
  <c r="D19" i="15"/>
  <c r="D27" i="15"/>
  <c r="H31" i="15"/>
  <c r="D35" i="15"/>
  <c r="D43" i="15"/>
  <c r="D66" i="15"/>
  <c r="D74" i="15"/>
  <c r="D83" i="15"/>
  <c r="D107" i="15"/>
  <c r="D118" i="15"/>
  <c r="B20" i="26"/>
  <c r="B22" i="26" s="1"/>
  <c r="B24" i="26" s="1"/>
  <c r="C5" i="26" s="1"/>
  <c r="C24" i="26" s="1"/>
  <c r="D5" i="26" s="1"/>
  <c r="D24" i="26" s="1"/>
  <c r="E5" i="26" s="1"/>
  <c r="E24" i="26" s="1"/>
  <c r="F5" i="26" s="1"/>
  <c r="F24" i="26" s="1"/>
  <c r="G5" i="26" s="1"/>
  <c r="G24" i="26" s="1"/>
  <c r="H5" i="26" s="1"/>
  <c r="H24" i="26" s="1"/>
  <c r="I5" i="26" s="1"/>
  <c r="I24" i="26" s="1"/>
  <c r="J5" i="26" s="1"/>
  <c r="J24" i="26" s="1"/>
  <c r="K5" i="26" s="1"/>
  <c r="K24" i="26" s="1"/>
  <c r="L5" i="26" s="1"/>
  <c r="L24" i="26" s="1"/>
  <c r="M5" i="26" s="1"/>
  <c r="M24" i="26" s="1"/>
  <c r="N5" i="26" s="1"/>
  <c r="N24" i="26" s="1"/>
  <c r="D5" i="21"/>
  <c r="AB11" i="4"/>
  <c r="Y11" i="4"/>
  <c r="V11" i="4"/>
  <c r="AE11" i="4"/>
  <c r="AH11" i="4"/>
  <c r="V20" i="4" l="1"/>
  <c r="E22" i="15" s="1"/>
  <c r="L61" i="4"/>
  <c r="L55" i="4"/>
  <c r="L47" i="4"/>
  <c r="L40" i="4"/>
  <c r="V7" i="4"/>
  <c r="E14" i="15" s="1"/>
  <c r="E15" i="15" s="1"/>
  <c r="N61" i="4"/>
  <c r="N55" i="4"/>
  <c r="N40" i="4"/>
  <c r="V6" i="4"/>
  <c r="P61" i="4"/>
  <c r="P55" i="4"/>
  <c r="P40" i="4"/>
  <c r="E23" i="15"/>
  <c r="J6" i="4"/>
  <c r="J10" i="4" s="1"/>
  <c r="V10" i="4"/>
  <c r="E61" i="15" s="1"/>
  <c r="E62" i="15" s="1"/>
  <c r="E66" i="15" s="1"/>
  <c r="E24" i="18" s="1"/>
  <c r="E71" i="15"/>
  <c r="H47" i="15"/>
  <c r="H51" i="15" s="1"/>
  <c r="N29" i="4"/>
  <c r="L16" i="4"/>
  <c r="N53" i="4"/>
  <c r="N52" i="4"/>
  <c r="N45" i="4"/>
  <c r="L29" i="4"/>
  <c r="L53" i="4"/>
  <c r="J16" i="4"/>
  <c r="L52" i="4"/>
  <c r="L45" i="4"/>
  <c r="P29" i="4"/>
  <c r="P53" i="4"/>
  <c r="N16" i="4"/>
  <c r="P52" i="4"/>
  <c r="P45" i="4"/>
  <c r="N19" i="4"/>
  <c r="N34" i="4"/>
  <c r="N26" i="4"/>
  <c r="L20" i="4"/>
  <c r="N14" i="4"/>
  <c r="N27" i="4"/>
  <c r="L14" i="4"/>
  <c r="L26" i="4"/>
  <c r="L34" i="4"/>
  <c r="J20" i="4"/>
  <c r="L27" i="4"/>
  <c r="L19" i="4"/>
  <c r="P34" i="4"/>
  <c r="P19" i="4"/>
  <c r="P27" i="4"/>
  <c r="N20" i="4"/>
  <c r="P26" i="4"/>
  <c r="P14" i="4"/>
  <c r="N54" i="4"/>
  <c r="L54" i="4"/>
  <c r="P54" i="4"/>
  <c r="AC18" i="4"/>
  <c r="AI18" i="4"/>
  <c r="Z18" i="4"/>
  <c r="AF18" i="4"/>
  <c r="W18" i="4"/>
  <c r="Y16" i="4"/>
  <c r="Y20" i="4" s="1"/>
  <c r="F22" i="15" s="1"/>
  <c r="F23" i="15" s="1"/>
  <c r="L46" i="4"/>
  <c r="L28" i="4"/>
  <c r="P22" i="4"/>
  <c r="L39" i="4"/>
  <c r="L17" i="4"/>
  <c r="L32" i="4"/>
  <c r="L38" i="4"/>
  <c r="L15" i="4"/>
  <c r="L18" i="4"/>
  <c r="J38" i="4"/>
  <c r="J32" i="4"/>
  <c r="Y7" i="4" s="1"/>
  <c r="F14" i="15" s="1"/>
  <c r="F15" i="15" s="1"/>
  <c r="J28" i="4"/>
  <c r="J39" i="4"/>
  <c r="J17" i="4"/>
  <c r="J15" i="4"/>
  <c r="N28" i="4"/>
  <c r="N17" i="4"/>
  <c r="N39" i="4"/>
  <c r="N46" i="4"/>
  <c r="N15" i="4"/>
  <c r="N32" i="4"/>
  <c r="N18" i="4"/>
  <c r="N38" i="4"/>
  <c r="H35" i="4"/>
  <c r="E77" i="15"/>
  <c r="E78" i="15" s="1"/>
  <c r="E83" i="15" s="1"/>
  <c r="B7" i="17"/>
  <c r="B3" i="17"/>
  <c r="J5" i="7"/>
  <c r="B4" i="17"/>
  <c r="H5" i="7"/>
  <c r="B5" i="17"/>
  <c r="B6" i="17"/>
  <c r="P63" i="4"/>
  <c r="N63" i="4"/>
  <c r="P44" i="4"/>
  <c r="AH17" i="4" s="1"/>
  <c r="P64" i="4"/>
  <c r="N64" i="4"/>
  <c r="N44" i="4"/>
  <c r="AE17" i="4" s="1"/>
  <c r="L63" i="4"/>
  <c r="L57" i="4"/>
  <c r="AB16" i="4" s="1"/>
  <c r="L50" i="4"/>
  <c r="L49" i="4"/>
  <c r="L51" i="4"/>
  <c r="P48" i="4"/>
  <c r="P51" i="4"/>
  <c r="P57" i="4"/>
  <c r="AH16" i="4" s="1"/>
  <c r="P49" i="4"/>
  <c r="P50" i="4"/>
  <c r="N57" i="4"/>
  <c r="AE16" i="4" s="1"/>
  <c r="N51" i="4"/>
  <c r="N50" i="4"/>
  <c r="N49" i="4"/>
  <c r="N48" i="4"/>
  <c r="L48" i="4"/>
  <c r="N23" i="4"/>
  <c r="N22" i="4"/>
  <c r="L21" i="4"/>
  <c r="P24" i="4"/>
  <c r="P21" i="4"/>
  <c r="V9" i="4"/>
  <c r="P30" i="4"/>
  <c r="N21" i="4"/>
  <c r="P23" i="4"/>
  <c r="N33" i="4"/>
  <c r="P33" i="4"/>
  <c r="M67" i="4"/>
  <c r="L9" i="4"/>
  <c r="N9" i="4" s="1"/>
  <c r="P9" i="4" s="1"/>
  <c r="L8" i="4"/>
  <c r="K67" i="4"/>
  <c r="P47" i="4"/>
  <c r="N47" i="4"/>
  <c r="Y10" i="4"/>
  <c r="F61" i="15" s="1"/>
  <c r="F62" i="15" s="1"/>
  <c r="F4" i="21"/>
  <c r="F5" i="21"/>
  <c r="G16" i="15"/>
  <c r="G7" i="18"/>
  <c r="G17" i="15"/>
  <c r="F13" i="21"/>
  <c r="G13" i="21"/>
  <c r="I18" i="5"/>
  <c r="I7" i="18"/>
  <c r="H4" i="21"/>
  <c r="H39" i="21"/>
  <c r="H5" i="21"/>
  <c r="H12" i="21"/>
  <c r="H15" i="21"/>
  <c r="H13" i="21"/>
  <c r="H7" i="21"/>
  <c r="J2" i="8"/>
  <c r="H17" i="15"/>
  <c r="I5" i="7"/>
  <c r="F39" i="21"/>
  <c r="F15" i="21"/>
  <c r="F7" i="21"/>
  <c r="G10" i="15" s="1"/>
  <c r="E15" i="21"/>
  <c r="G5" i="7"/>
  <c r="F7" i="18"/>
  <c r="F2" i="8"/>
  <c r="E7" i="18"/>
  <c r="E17" i="15"/>
  <c r="H2" i="8"/>
  <c r="L33" i="4"/>
  <c r="G2" i="8"/>
  <c r="G7" i="21"/>
  <c r="F47" i="15"/>
  <c r="F51" i="15" s="1"/>
  <c r="E5" i="21"/>
  <c r="F16" i="15"/>
  <c r="G39" i="21"/>
  <c r="I2" i="8"/>
  <c r="E7" i="21"/>
  <c r="G12" i="21"/>
  <c r="E4" i="21"/>
  <c r="G4" i="21"/>
  <c r="H10" i="15" s="1"/>
  <c r="H41" i="4"/>
  <c r="D15" i="21"/>
  <c r="G15" i="21"/>
  <c r="L6" i="4"/>
  <c r="N6" i="4" s="1"/>
  <c r="P6" i="4" s="1"/>
  <c r="H10" i="4"/>
  <c r="F5" i="7"/>
  <c r="E13" i="21"/>
  <c r="H16" i="15"/>
  <c r="H65" i="4"/>
  <c r="L7" i="4"/>
  <c r="N7" i="4" s="1"/>
  <c r="P7" i="4" s="1"/>
  <c r="F17" i="15"/>
  <c r="H7" i="18"/>
  <c r="H35" i="15"/>
  <c r="H22" i="18" s="1"/>
  <c r="G87" i="15"/>
  <c r="G92" i="15" s="1"/>
  <c r="E43" i="15"/>
  <c r="H14" i="5"/>
  <c r="I10" i="15"/>
  <c r="F10" i="15"/>
  <c r="E14" i="5"/>
  <c r="G14" i="5"/>
  <c r="E74" i="15"/>
  <c r="I14" i="5"/>
  <c r="I16" i="15"/>
  <c r="I67" i="4"/>
  <c r="G5" i="21"/>
  <c r="F14" i="5"/>
  <c r="H58" i="4"/>
  <c r="O67" i="4"/>
  <c r="F87" i="15"/>
  <c r="F92" i="15" s="1"/>
  <c r="H87" i="15"/>
  <c r="H92" i="15" s="1"/>
  <c r="G47" i="15"/>
  <c r="G51" i="15" s="1"/>
  <c r="I87" i="15"/>
  <c r="I92" i="15" s="1"/>
  <c r="E87" i="15"/>
  <c r="E92" i="15" s="1"/>
  <c r="E16" i="15"/>
  <c r="I47" i="15"/>
  <c r="I51" i="15" s="1"/>
  <c r="I19" i="5"/>
  <c r="E18" i="5"/>
  <c r="D31" i="5"/>
  <c r="N30" i="4"/>
  <c r="E17" i="5" l="1"/>
  <c r="E19" i="5" s="1"/>
  <c r="E31" i="5" s="1"/>
  <c r="F63" i="15"/>
  <c r="F66" i="15" s="1"/>
  <c r="F24" i="18" s="1"/>
  <c r="F71" i="15"/>
  <c r="F74" i="15" s="1"/>
  <c r="G63" i="15"/>
  <c r="G71" i="15"/>
  <c r="G74" i="15" s="1"/>
  <c r="I71" i="15"/>
  <c r="I74" i="15" s="1"/>
  <c r="I63" i="15"/>
  <c r="H71" i="15"/>
  <c r="H74" i="15" s="1"/>
  <c r="H63" i="15"/>
  <c r="F27" i="15"/>
  <c r="F21" i="18" s="1"/>
  <c r="E46" i="15"/>
  <c r="E47" i="15" s="1"/>
  <c r="E51" i="15" s="1"/>
  <c r="E23" i="18" s="1"/>
  <c r="V18" i="4"/>
  <c r="E111" i="15" s="1"/>
  <c r="G9" i="15"/>
  <c r="J58" i="4"/>
  <c r="J41" i="4"/>
  <c r="P65" i="4"/>
  <c r="J35" i="4"/>
  <c r="Y12" i="4"/>
  <c r="F77" i="15" s="1"/>
  <c r="F78" i="15" s="1"/>
  <c r="F83" i="15" s="1"/>
  <c r="J65" i="4"/>
  <c r="L65" i="4"/>
  <c r="N65" i="4"/>
  <c r="Y6" i="4"/>
  <c r="F6" i="15" s="1"/>
  <c r="F9" i="15"/>
  <c r="D43" i="21"/>
  <c r="G4" i="17"/>
  <c r="D4" i="17"/>
  <c r="E34" i="17"/>
  <c r="E41" i="17" s="1"/>
  <c r="G20" i="8" s="1"/>
  <c r="E33" i="17"/>
  <c r="E39" i="17" s="1"/>
  <c r="G37" i="8" s="1"/>
  <c r="H5" i="17"/>
  <c r="G3" i="17"/>
  <c r="D3" i="17"/>
  <c r="D34" i="17"/>
  <c r="H4" i="17"/>
  <c r="D33" i="17"/>
  <c r="D39" i="17" s="1"/>
  <c r="F37" i="8" s="1"/>
  <c r="G34" i="17"/>
  <c r="G41" i="17" s="1"/>
  <c r="I20" i="8" s="1"/>
  <c r="D6" i="17"/>
  <c r="G6" i="17"/>
  <c r="G33" i="17"/>
  <c r="G39" i="17" s="1"/>
  <c r="I37" i="8" s="1"/>
  <c r="H7" i="17"/>
  <c r="H34" i="17"/>
  <c r="H41" i="17" s="1"/>
  <c r="J20" i="8" s="1"/>
  <c r="G7" i="17"/>
  <c r="D7" i="17"/>
  <c r="H33" i="17"/>
  <c r="H39" i="17" s="1"/>
  <c r="J37" i="8" s="1"/>
  <c r="G5" i="17"/>
  <c r="D5" i="17"/>
  <c r="F33" i="17"/>
  <c r="F39" i="17" s="1"/>
  <c r="H37" i="8" s="1"/>
  <c r="F34" i="17"/>
  <c r="F41" i="17" s="1"/>
  <c r="H20" i="8" s="1"/>
  <c r="H6" i="17"/>
  <c r="AE12" i="4"/>
  <c r="H77" i="15" s="1"/>
  <c r="H78" i="15" s="1"/>
  <c r="AH12" i="4"/>
  <c r="I77" i="15" s="1"/>
  <c r="AH7" i="4"/>
  <c r="I14" i="15" s="1"/>
  <c r="I15" i="15" s="1"/>
  <c r="AE7" i="4"/>
  <c r="H14" i="15" s="1"/>
  <c r="H15" i="15" s="1"/>
  <c r="H19" i="15" s="1"/>
  <c r="H18" i="18" s="1"/>
  <c r="L41" i="4"/>
  <c r="P41" i="4"/>
  <c r="AB12" i="4"/>
  <c r="G77" i="15" s="1"/>
  <c r="G78" i="15" s="1"/>
  <c r="G83" i="15" s="1"/>
  <c r="N41" i="4"/>
  <c r="P58" i="4"/>
  <c r="AH6" i="4"/>
  <c r="AB7" i="4"/>
  <c r="G14" i="15" s="1"/>
  <c r="G15" i="15" s="1"/>
  <c r="G19" i="15" s="1"/>
  <c r="G18" i="18" s="1"/>
  <c r="AB8" i="4"/>
  <c r="N58" i="4"/>
  <c r="L35" i="4"/>
  <c r="N8" i="4"/>
  <c r="N10" i="4" s="1"/>
  <c r="P35" i="4"/>
  <c r="AE10" i="4"/>
  <c r="H61" i="15" s="1"/>
  <c r="H62" i="15" s="1"/>
  <c r="L10" i="4"/>
  <c r="H67" i="4"/>
  <c r="G18" i="5"/>
  <c r="G19" i="5" s="1"/>
  <c r="I9" i="15"/>
  <c r="H18" i="5"/>
  <c r="H19" i="5" s="1"/>
  <c r="F19" i="15"/>
  <c r="F18" i="18" s="1"/>
  <c r="F18" i="5"/>
  <c r="F19" i="5" s="1"/>
  <c r="F31" i="5" s="1"/>
  <c r="H9" i="15"/>
  <c r="E27" i="15"/>
  <c r="E21" i="18" s="1"/>
  <c r="L58" i="4"/>
  <c r="AB10" i="4"/>
  <c r="G61" i="15" s="1"/>
  <c r="G62" i="15" s="1"/>
  <c r="E19" i="15"/>
  <c r="E18" i="18" s="1"/>
  <c r="E25" i="18"/>
  <c r="AB6" i="4"/>
  <c r="AE6" i="4"/>
  <c r="E6" i="15"/>
  <c r="N35" i="4"/>
  <c r="AH10" i="4"/>
  <c r="I61" i="15" s="1"/>
  <c r="F25" i="18" l="1"/>
  <c r="G66" i="15"/>
  <c r="G24" i="18" s="1"/>
  <c r="G25" i="18"/>
  <c r="AB20" i="4"/>
  <c r="G22" i="15" s="1"/>
  <c r="G23" i="15" s="1"/>
  <c r="J67" i="4"/>
  <c r="L67" i="4"/>
  <c r="N67" i="4"/>
  <c r="I6" i="15"/>
  <c r="I7" i="15" s="1"/>
  <c r="I11" i="15" s="1"/>
  <c r="Y18" i="4"/>
  <c r="F111" i="15" s="1"/>
  <c r="F112" i="15" s="1"/>
  <c r="F116" i="15" s="1"/>
  <c r="H6" i="15"/>
  <c r="H7" i="15" s="1"/>
  <c r="H11" i="15" s="1"/>
  <c r="G6" i="15"/>
  <c r="G7" i="15" s="1"/>
  <c r="G11" i="15" s="1"/>
  <c r="AB18" i="4"/>
  <c r="G111" i="15" s="1"/>
  <c r="G112" i="15" s="1"/>
  <c r="G116" i="15" s="1"/>
  <c r="H83" i="15"/>
  <c r="H25" i="18" s="1"/>
  <c r="C14" i="17"/>
  <c r="B14" i="17"/>
  <c r="D35" i="17"/>
  <c r="B12" i="17"/>
  <c r="D32" i="17" s="1"/>
  <c r="D38" i="17" s="1"/>
  <c r="F26" i="8" s="1"/>
  <c r="C12" i="17"/>
  <c r="C15" i="17" s="1"/>
  <c r="C17" i="17" s="1"/>
  <c r="F3" i="17" s="1"/>
  <c r="H14" i="17"/>
  <c r="I12" i="17"/>
  <c r="F35" i="17"/>
  <c r="F36" i="21"/>
  <c r="G104" i="15" s="1"/>
  <c r="G107" i="15" s="1"/>
  <c r="G27" i="18" s="1"/>
  <c r="H12" i="17"/>
  <c r="I14" i="17"/>
  <c r="L12" i="17"/>
  <c r="L14" i="17"/>
  <c r="B23" i="17"/>
  <c r="K14" i="17"/>
  <c r="C23" i="17"/>
  <c r="G36" i="21"/>
  <c r="H104" i="15" s="1"/>
  <c r="H107" i="15" s="1"/>
  <c r="H27" i="18" s="1"/>
  <c r="C25" i="17"/>
  <c r="G35" i="17"/>
  <c r="K12" i="17"/>
  <c r="B25" i="17"/>
  <c r="N14" i="17"/>
  <c r="O14" i="17"/>
  <c r="N12" i="17"/>
  <c r="E23" i="17"/>
  <c r="F23" i="17"/>
  <c r="F26" i="17" s="1"/>
  <c r="F28" i="17" s="1"/>
  <c r="E25" i="17"/>
  <c r="O12" i="17"/>
  <c r="O15" i="17" s="1"/>
  <c r="O17" i="17" s="1"/>
  <c r="F7" i="17" s="1"/>
  <c r="H35" i="17"/>
  <c r="F25" i="17"/>
  <c r="H36" i="21"/>
  <c r="I104" i="15" s="1"/>
  <c r="I107" i="15" s="1"/>
  <c r="I27" i="18" s="1"/>
  <c r="F12" i="17"/>
  <c r="E14" i="17"/>
  <c r="E12" i="17"/>
  <c r="F14" i="17"/>
  <c r="E36" i="21"/>
  <c r="F104" i="15" s="1"/>
  <c r="F107" i="15" s="1"/>
  <c r="F27" i="18" s="1"/>
  <c r="E35" i="17"/>
  <c r="I19" i="15"/>
  <c r="I18" i="18" s="1"/>
  <c r="AE8" i="4"/>
  <c r="P8" i="4"/>
  <c r="AH8" i="4" s="1"/>
  <c r="AH20" i="4" s="1"/>
  <c r="I22" i="15" s="1"/>
  <c r="I23" i="15" s="1"/>
  <c r="H66" i="15"/>
  <c r="H24" i="18" s="1"/>
  <c r="E7" i="15"/>
  <c r="F7" i="15"/>
  <c r="F11" i="15" s="1"/>
  <c r="I78" i="15"/>
  <c r="I83" i="15" s="1"/>
  <c r="I25" i="18" s="1"/>
  <c r="I62" i="15"/>
  <c r="I66" i="15" s="1"/>
  <c r="I24" i="18" s="1"/>
  <c r="E112" i="15"/>
  <c r="E116" i="15" s="1"/>
  <c r="E43" i="21" l="1"/>
  <c r="F56" i="15"/>
  <c r="F59" i="15" s="1"/>
  <c r="F23" i="18" s="1"/>
  <c r="G43" i="21"/>
  <c r="H56" i="15"/>
  <c r="H59" i="15" s="1"/>
  <c r="H23" i="18" s="1"/>
  <c r="H23" i="5"/>
  <c r="H31" i="5" s="1"/>
  <c r="F43" i="21"/>
  <c r="G23" i="5"/>
  <c r="G31" i="5" s="1"/>
  <c r="G56" i="15"/>
  <c r="G59" i="15" s="1"/>
  <c r="G23" i="18" s="1"/>
  <c r="H43" i="21"/>
  <c r="I23" i="5"/>
  <c r="I31" i="5" s="1"/>
  <c r="I56" i="15"/>
  <c r="I59" i="15" s="1"/>
  <c r="I23" i="18" s="1"/>
  <c r="AE20" i="4"/>
  <c r="H22" i="15" s="1"/>
  <c r="H23" i="15" s="1"/>
  <c r="G27" i="15"/>
  <c r="G21" i="18" s="1"/>
  <c r="AH18" i="4"/>
  <c r="I111" i="15" s="1"/>
  <c r="I112" i="15" s="1"/>
  <c r="I116" i="15" s="1"/>
  <c r="AE18" i="4"/>
  <c r="H111" i="15" s="1"/>
  <c r="H112" i="15" s="1"/>
  <c r="H116" i="15" s="1"/>
  <c r="G32" i="17"/>
  <c r="G38" i="17" s="1"/>
  <c r="I26" i="8" s="1"/>
  <c r="K15" i="17"/>
  <c r="K17" i="17" s="1"/>
  <c r="E6" i="17" s="1"/>
  <c r="L15" i="17"/>
  <c r="L17" i="17" s="1"/>
  <c r="F6" i="17" s="1"/>
  <c r="C26" i="17"/>
  <c r="C28" i="17" s="1"/>
  <c r="E32" i="17"/>
  <c r="E38" i="17" s="1"/>
  <c r="G26" i="8" s="1"/>
  <c r="E15" i="17"/>
  <c r="E17" i="17" s="1"/>
  <c r="E4" i="17" s="1"/>
  <c r="F23" i="8"/>
  <c r="F22" i="8"/>
  <c r="E97" i="15"/>
  <c r="E26" i="17"/>
  <c r="E28" i="17" s="1"/>
  <c r="H97" i="15"/>
  <c r="H99" i="15" s="1"/>
  <c r="H26" i="18" s="1"/>
  <c r="I23" i="8"/>
  <c r="I22" i="8"/>
  <c r="I56" i="8" s="1"/>
  <c r="H11" i="18" s="1"/>
  <c r="F15" i="17"/>
  <c r="F17" i="17" s="1"/>
  <c r="F4" i="17" s="1"/>
  <c r="H15" i="17"/>
  <c r="H17" i="17" s="1"/>
  <c r="E5" i="17" s="1"/>
  <c r="I5" i="17" s="1"/>
  <c r="G9" i="18" s="1"/>
  <c r="F32" i="17"/>
  <c r="F38" i="17" s="1"/>
  <c r="H26" i="8" s="1"/>
  <c r="H32" i="17"/>
  <c r="H38" i="17" s="1"/>
  <c r="J26" i="8" s="1"/>
  <c r="N15" i="17"/>
  <c r="N17" i="17" s="1"/>
  <c r="E7" i="17" s="1"/>
  <c r="I7" i="17" s="1"/>
  <c r="H22" i="8"/>
  <c r="G97" i="15"/>
  <c r="G99" i="15" s="1"/>
  <c r="H23" i="8"/>
  <c r="I97" i="15"/>
  <c r="I99" i="15" s="1"/>
  <c r="I26" i="18" s="1"/>
  <c r="J23" i="8"/>
  <c r="J22" i="8"/>
  <c r="B15" i="17"/>
  <c r="B17" i="17" s="1"/>
  <c r="E3" i="17" s="1"/>
  <c r="I3" i="17" s="1"/>
  <c r="I15" i="17"/>
  <c r="I17" i="17" s="1"/>
  <c r="F5" i="17" s="1"/>
  <c r="G22" i="8"/>
  <c r="G23" i="8"/>
  <c r="F97" i="15"/>
  <c r="F99" i="15" s="1"/>
  <c r="F118" i="15" s="1"/>
  <c r="B26" i="17"/>
  <c r="B28" i="17" s="1"/>
  <c r="L5" i="17"/>
  <c r="H7" i="7" s="1"/>
  <c r="H36" i="7" s="1"/>
  <c r="G10" i="18" s="1"/>
  <c r="P10" i="4"/>
  <c r="P67" i="4" s="1"/>
  <c r="E11" i="15"/>
  <c r="I17" i="18"/>
  <c r="I19" i="18" s="1"/>
  <c r="F17" i="18"/>
  <c r="F19" i="18" s="1"/>
  <c r="H17" i="18"/>
  <c r="H19" i="18" s="1"/>
  <c r="G17" i="18"/>
  <c r="G19" i="18" s="1"/>
  <c r="I27" i="15"/>
  <c r="I21" i="18" s="1"/>
  <c r="G118" i="15" l="1"/>
  <c r="H27" i="15"/>
  <c r="H21" i="18" s="1"/>
  <c r="H28" i="18" s="1"/>
  <c r="H33" i="18" s="1"/>
  <c r="F26" i="18"/>
  <c r="F28" i="18" s="1"/>
  <c r="F33" i="18" s="1"/>
  <c r="G26" i="18"/>
  <c r="G28" i="18" s="1"/>
  <c r="G33" i="18" s="1"/>
  <c r="F56" i="8"/>
  <c r="E11" i="18" s="1"/>
  <c r="H56" i="8"/>
  <c r="G11" i="18" s="1"/>
  <c r="G14" i="18" s="1"/>
  <c r="L7" i="17"/>
  <c r="J7" i="7" s="1"/>
  <c r="J36" i="7" s="1"/>
  <c r="I10" i="18" s="1"/>
  <c r="J32" i="6"/>
  <c r="I9" i="18" s="1"/>
  <c r="J56" i="8"/>
  <c r="I11" i="18" s="1"/>
  <c r="I6" i="17"/>
  <c r="I4" i="17"/>
  <c r="G56" i="8"/>
  <c r="F11" i="18" s="1"/>
  <c r="E9" i="18"/>
  <c r="L3" i="17"/>
  <c r="F7" i="7" s="1"/>
  <c r="F36" i="7" s="1"/>
  <c r="E10" i="18" s="1"/>
  <c r="E99" i="15"/>
  <c r="E26" i="18" s="1"/>
  <c r="E28" i="18" s="1"/>
  <c r="I28" i="18"/>
  <c r="I33" i="18" s="1"/>
  <c r="E17" i="18"/>
  <c r="E19" i="18" s="1"/>
  <c r="I118" i="15"/>
  <c r="H118" i="15" l="1"/>
  <c r="E14" i="18"/>
  <c r="E118" i="15"/>
  <c r="I14" i="18"/>
  <c r="I35" i="18" s="1"/>
  <c r="I42" i="18" s="1"/>
  <c r="E33" i="18"/>
  <c r="H9" i="18"/>
  <c r="L6" i="17"/>
  <c r="I7" i="7" s="1"/>
  <c r="I36" i="7" s="1"/>
  <c r="H10" i="18" s="1"/>
  <c r="F9" i="18"/>
  <c r="F14" i="18" s="1"/>
  <c r="L4" i="17"/>
  <c r="G7" i="7" s="1"/>
  <c r="G36" i="7" s="1"/>
  <c r="F10" i="18" s="1"/>
  <c r="G35" i="18"/>
  <c r="G42" i="18" s="1"/>
  <c r="F35" i="18" l="1"/>
  <c r="F42" i="18" s="1"/>
  <c r="E35" i="18"/>
  <c r="E42" i="18" s="1"/>
  <c r="E43" i="18" s="1"/>
  <c r="E45" i="18" s="1"/>
  <c r="H14" i="18"/>
  <c r="H35" i="18" s="1"/>
  <c r="H42" i="18" s="1"/>
  <c r="E39" i="18" l="1"/>
  <c r="F37" i="18" s="1"/>
  <c r="F39" i="18" s="1"/>
  <c r="G37" i="18" s="1"/>
  <c r="G39" i="18" s="1"/>
  <c r="H37" i="18" s="1"/>
  <c r="H39" i="18" s="1"/>
  <c r="I37" i="18" s="1"/>
  <c r="I39" i="18" s="1"/>
  <c r="F41" i="18"/>
  <c r="F43" i="18" s="1"/>
  <c r="F45" i="18" s="1"/>
  <c r="G41" i="18" l="1"/>
  <c r="G43" i="18" s="1"/>
  <c r="G45" i="18" s="1"/>
  <c r="H41" i="18" l="1"/>
  <c r="H43" i="18" s="1"/>
  <c r="H45" i="18" s="1"/>
  <c r="I41" i="18" l="1"/>
  <c r="I43" i="18" s="1"/>
  <c r="I45" i="18" s="1"/>
</calcChain>
</file>

<file path=xl/sharedStrings.xml><?xml version="1.0" encoding="utf-8"?>
<sst xmlns="http://schemas.openxmlformats.org/spreadsheetml/2006/main" count="724" uniqueCount="462">
  <si>
    <t>Individuals with Disabilities Act (IDEA)</t>
    <phoneticPr fontId="6" type="noConversion"/>
  </si>
  <si>
    <t>Early Childhood Special Education - Federal</t>
    <phoneticPr fontId="6" type="noConversion"/>
  </si>
  <si>
    <t>School Lunch Program</t>
    <phoneticPr fontId="6" type="noConversion"/>
  </si>
  <si>
    <t>School Breakfast Program</t>
    <phoneticPr fontId="6" type="noConversion"/>
  </si>
  <si>
    <t>Special Milk Program</t>
    <phoneticPr fontId="6" type="noConversion"/>
  </si>
  <si>
    <t>Child Care Development Fund Grant</t>
    <phoneticPr fontId="6" type="noConversion"/>
  </si>
  <si>
    <t>National and Community Service Trust Act of 1993</t>
    <phoneticPr fontId="6" type="noConversion"/>
  </si>
  <si>
    <t>AIDS Education Grant</t>
    <phoneticPr fontId="6" type="noConversion"/>
  </si>
  <si>
    <t>Federal Emergency Management Agency (FEMA) Funds</t>
    <phoneticPr fontId="6" type="noConversion"/>
  </si>
  <si>
    <t>Vocational Rehabilitation</t>
    <phoneticPr fontId="6" type="noConversion"/>
  </si>
  <si>
    <t>Federal Disaster Assistance</t>
    <phoneticPr fontId="6" type="noConversion"/>
  </si>
  <si>
    <t>Federal Housing</t>
    <phoneticPr fontId="6" type="noConversion"/>
  </si>
  <si>
    <t>Federal Flood Counseling</t>
    <phoneticPr fontId="6" type="noConversion"/>
  </si>
  <si>
    <t>Reserve Officer Training Corps (ROTC)</t>
    <phoneticPr fontId="6" type="noConversion"/>
  </si>
  <si>
    <t>5420-59</t>
    <phoneticPr fontId="6" type="noConversion"/>
  </si>
  <si>
    <t>5460-79</t>
    <phoneticPr fontId="6" type="noConversion"/>
  </si>
  <si>
    <t>5480-89</t>
    <phoneticPr fontId="6" type="noConversion"/>
  </si>
  <si>
    <t>Federal Revenue -- Subtotal</t>
    <phoneticPr fontId="6" type="noConversion"/>
  </si>
  <si>
    <t>Grants-in-Aid - Restricted, Federal Through State</t>
    <phoneticPr fontId="6" type="noConversion"/>
  </si>
  <si>
    <t>Other Federal Restricted, Through the State</t>
    <phoneticPr fontId="6" type="noConversion"/>
  </si>
  <si>
    <t>Other Grants-in-Aid-Restricted, Federal</t>
    <phoneticPr fontId="6" type="noConversion"/>
  </si>
  <si>
    <t>Head Start</t>
    <phoneticPr fontId="6" type="noConversion"/>
  </si>
  <si>
    <t>Pell Grants</t>
    <phoneticPr fontId="6" type="noConversion"/>
  </si>
  <si>
    <t>Impact Aid, Restricted Purpose</t>
    <phoneticPr fontId="6" type="noConversion"/>
  </si>
  <si>
    <t>Facilities Infrastructure Improvement Grant</t>
    <phoneticPr fontId="6" type="noConversion"/>
  </si>
  <si>
    <t>Other Federal Revenue</t>
    <phoneticPr fontId="6" type="noConversion"/>
  </si>
  <si>
    <t>Education for Homeless Children and Youth</t>
    <phoneticPr fontId="6" type="noConversion"/>
  </si>
  <si>
    <t>State Emergency Management Agency (SEMA) Funds</t>
    <phoneticPr fontId="6" type="noConversion"/>
  </si>
  <si>
    <t>Select Teachers As Regional Resource</t>
    <phoneticPr fontId="6" type="noConversion"/>
  </si>
  <si>
    <t>MO Department of Natural Resources (DNR) Energy Grant</t>
    <phoneticPr fontId="6" type="noConversion"/>
  </si>
  <si>
    <t>Other State Revenue</t>
    <phoneticPr fontId="6" type="noConversion"/>
  </si>
  <si>
    <t>5410-19</t>
    <phoneticPr fontId="6" type="noConversion"/>
  </si>
  <si>
    <t>Grants-in-Aid -- Unrestricted, Direct</t>
    <phoneticPr fontId="6" type="noConversion"/>
  </si>
  <si>
    <t>Impact Aid</t>
    <phoneticPr fontId="6" type="noConversion"/>
  </si>
  <si>
    <t>Medicaid</t>
    <phoneticPr fontId="6" type="noConversion"/>
  </si>
  <si>
    <t>Job Development/Customized Training</t>
    <phoneticPr fontId="6" type="noConversion"/>
  </si>
  <si>
    <t>Safe School Initiative Grant</t>
    <phoneticPr fontId="6" type="noConversion"/>
  </si>
  <si>
    <t>A+ Schools Grant</t>
    <phoneticPr fontId="6" type="noConversion"/>
  </si>
  <si>
    <t>MO Department of Natural Resources (DNR) Energy Loans</t>
    <phoneticPr fontId="6" type="noConversion"/>
  </si>
  <si>
    <t>MO School Age Children's Health Services Grant</t>
    <phoneticPr fontId="6" type="noConversion"/>
  </si>
  <si>
    <t>Residential Placement/Excess Cost</t>
    <phoneticPr fontId="6" type="noConversion"/>
  </si>
  <si>
    <t>Readers for the Blind</t>
    <phoneticPr fontId="6" type="noConversion"/>
  </si>
  <si>
    <t>STATE REVENUE WORKSHEET</t>
    <phoneticPr fontId="6" type="noConversion"/>
  </si>
  <si>
    <t>State Revenue - Subtotal</t>
    <phoneticPr fontId="0" type="noConversion"/>
  </si>
  <si>
    <t>Foundation Formula, State Aid</t>
    <phoneticPr fontId="6" type="noConversion"/>
  </si>
  <si>
    <t>Transportation</t>
    <phoneticPr fontId="6" type="noConversion"/>
  </si>
  <si>
    <t>Early Childhood (3 &amp; 4 Year Old) Special Education</t>
    <phoneticPr fontId="6" type="noConversion"/>
  </si>
  <si>
    <t>Career Ladder/Excellence in Education Act</t>
    <phoneticPr fontId="6" type="noConversion"/>
  </si>
  <si>
    <t>Educational and Screening Program Entitlement/Parents as Teachers</t>
    <phoneticPr fontId="6" type="noConversion"/>
  </si>
  <si>
    <t>State Revenue</t>
    <phoneticPr fontId="6" type="noConversion"/>
  </si>
  <si>
    <t>Food Service - State</t>
    <phoneticPr fontId="6" type="noConversion"/>
  </si>
  <si>
    <t>Food Services - Non-Program</t>
    <phoneticPr fontId="0" type="noConversion"/>
  </si>
  <si>
    <t>Admissions</t>
    <phoneticPr fontId="0" type="noConversion"/>
  </si>
  <si>
    <t>Bookstore Sales</t>
    <phoneticPr fontId="0" type="noConversion"/>
  </si>
  <si>
    <t>Student Organization Membership Dues and Fees</t>
    <phoneticPr fontId="0" type="noConversion"/>
  </si>
  <si>
    <t>Other Pupil Activity Income</t>
    <phoneticPr fontId="0" type="noConversion"/>
  </si>
  <si>
    <t>Community Services</t>
    <phoneticPr fontId="0" type="noConversion"/>
  </si>
  <si>
    <t>Rentals</t>
    <phoneticPr fontId="0" type="noConversion"/>
  </si>
  <si>
    <t>Gifts</t>
    <phoneticPr fontId="0" type="noConversion"/>
  </si>
  <si>
    <t>Prior Period Adjustment</t>
    <phoneticPr fontId="0" type="noConversion"/>
  </si>
  <si>
    <t>Net Receipts from Clearing Accounts</t>
    <phoneticPr fontId="0" type="noConversion"/>
  </si>
  <si>
    <t>Enterprise Sources</t>
    <phoneticPr fontId="0" type="noConversion"/>
  </si>
  <si>
    <t>Earnings on Investments</t>
    <phoneticPr fontId="0" type="noConversion"/>
  </si>
  <si>
    <t>Food Service - Pupils</t>
    <phoneticPr fontId="0" type="noConversion"/>
  </si>
  <si>
    <t>Food Service - Adults</t>
    <phoneticPr fontId="0" type="noConversion"/>
  </si>
  <si>
    <t>Community Services</t>
    <phoneticPr fontId="0" type="noConversion"/>
  </si>
  <si>
    <t>Other Revenue from Local Sources</t>
    <phoneticPr fontId="0" type="noConversion"/>
  </si>
  <si>
    <t>Projected</t>
    <phoneticPr fontId="0" type="noConversion"/>
  </si>
  <si>
    <t>Local Revenue - Subtotal</t>
    <phoneticPr fontId="0" type="noConversion"/>
  </si>
  <si>
    <t>Budget</t>
    <phoneticPr fontId="5" type="noConversion"/>
  </si>
  <si>
    <t>Projected</t>
    <phoneticPr fontId="5" type="noConversion"/>
  </si>
  <si>
    <t>Other</t>
    <phoneticPr fontId="5" type="noConversion"/>
  </si>
  <si>
    <t>LOCAL REVENUE WORKSHEET</t>
    <phoneticPr fontId="6" type="noConversion"/>
  </si>
  <si>
    <t>Regular Programs</t>
  </si>
  <si>
    <t>Special Programs</t>
  </si>
  <si>
    <t>Code</t>
    <phoneticPr fontId="0" type="noConversion"/>
  </si>
  <si>
    <t>Detail</t>
    <phoneticPr fontId="0" type="noConversion"/>
  </si>
  <si>
    <t>Earnings from Temporary Deposits</t>
    <phoneticPr fontId="0" type="noConversion"/>
  </si>
  <si>
    <t>Sales to Pupils</t>
    <phoneticPr fontId="0" type="noConversion"/>
  </si>
  <si>
    <t>Sales to Adults</t>
    <phoneticPr fontId="0" type="noConversion"/>
  </si>
  <si>
    <t>Support Services - School Administration</t>
  </si>
  <si>
    <t>TOTAL SUPPORT SERVICES</t>
  </si>
  <si>
    <t>GRAND TOTAL EXPENDITURES</t>
  </si>
  <si>
    <t>Expenditures</t>
  </si>
  <si>
    <t xml:space="preserve">Total Revenue Over/(Under) Total Expenses </t>
  </si>
  <si>
    <t>Beginning Balance, July 1</t>
  </si>
  <si>
    <t>Ending Balance, June 30</t>
  </si>
  <si>
    <t>Total Contractual Services</t>
  </si>
  <si>
    <t>Position</t>
  </si>
  <si>
    <t>Budget</t>
  </si>
  <si>
    <t>Administrators</t>
  </si>
  <si>
    <t>Technology</t>
  </si>
  <si>
    <t>Total Salaries</t>
  </si>
  <si>
    <t>Administration</t>
  </si>
  <si>
    <t>Education</t>
  </si>
  <si>
    <t xml:space="preserve"> </t>
  </si>
  <si>
    <t>Projected</t>
  </si>
  <si>
    <t>Revenues</t>
  </si>
  <si>
    <t>GRAND TOTAL REVENUES</t>
  </si>
  <si>
    <t>TOTAL INSTRUCTION (K-12 Only)</t>
  </si>
  <si>
    <t>Support Services - Pupils</t>
  </si>
  <si>
    <t>Basic Formula - State Monies</t>
  </si>
  <si>
    <t>Basic Formula - Classroom Trust Fund</t>
  </si>
  <si>
    <t>Career Education/At-Risk - State</t>
  </si>
  <si>
    <t>Career Education - State</t>
  </si>
  <si>
    <t>Adult Education &amp; Literacy (AEL) - State</t>
  </si>
  <si>
    <t>Adult Education Special Literacy Grant</t>
  </si>
  <si>
    <t>Career Education Enhancement Grant</t>
  </si>
  <si>
    <t>eMINTS/METS Classrooms</t>
  </si>
  <si>
    <t>High Need Fund - Special Education</t>
  </si>
  <si>
    <t>Missouri Preschool Project</t>
  </si>
  <si>
    <t>Child Development Associate (CDA) Grant</t>
  </si>
  <si>
    <t>Perkins Basic Grant, Career Education</t>
  </si>
  <si>
    <t>Perkins Tech Prep Grant, Career Education</t>
  </si>
  <si>
    <t>Workforce Investment Act (WIA) - Federal</t>
  </si>
  <si>
    <t>Adult Education &amp; Literacy (AEL) - Federal</t>
  </si>
  <si>
    <t>After-School Snack Program</t>
  </si>
  <si>
    <t>Title I, ESEA - Improving the Academic Achievement of the Disadvantaged</t>
  </si>
  <si>
    <t>Title I, Part C - Migrant Education</t>
  </si>
  <si>
    <t>Title I, Part B - Student Reading Skills Improbement Grants</t>
  </si>
  <si>
    <t>Title I, Part F - Comprehensive School Reform</t>
  </si>
  <si>
    <t>Title V, ESEA - Innovative Education Programs</t>
  </si>
  <si>
    <t>Title Iv, LIFT Grant</t>
  </si>
  <si>
    <t>Twenty-First Century Grant</t>
  </si>
  <si>
    <t>Title IV, Part A, ESEA - Safe and Drug Free Schools and Communities</t>
  </si>
  <si>
    <t>Title III, ESEA - English Language Acquisition and Academice Achievement</t>
  </si>
  <si>
    <t>Title II, Part A &amp; B, ESEA - Teacher and Principal Traning and Recruitment Fund/Mathmatics and Science Partnerships</t>
  </si>
  <si>
    <t>Title II, Part D, ESEA - Enhancing Education Through Technology</t>
  </si>
  <si>
    <t>Title I, Part B - Even Start Family Literacy</t>
  </si>
  <si>
    <t>Department of Health Food Service Program</t>
  </si>
  <si>
    <t>Workforce Investment Act (WIA)</t>
  </si>
  <si>
    <t>Title I, Part B - Rural Education Initiative</t>
  </si>
  <si>
    <t>Support Services - General Administration</t>
  </si>
  <si>
    <t>YEAR</t>
  </si>
  <si>
    <t>TOTAL</t>
  </si>
  <si>
    <t>Substitutes</t>
  </si>
  <si>
    <t>Legal</t>
  </si>
  <si>
    <t>Audit</t>
  </si>
  <si>
    <t>Year 4</t>
  </si>
  <si>
    <t>Year 5</t>
  </si>
  <si>
    <t>Principal</t>
  </si>
  <si>
    <t>Enrollment</t>
  </si>
  <si>
    <t>Trash</t>
  </si>
  <si>
    <t>Year 0</t>
  </si>
  <si>
    <t>.</t>
  </si>
  <si>
    <t>Office</t>
  </si>
  <si>
    <t>Copier</t>
  </si>
  <si>
    <t>ADA</t>
  </si>
  <si>
    <t>WADA</t>
  </si>
  <si>
    <t>No.</t>
  </si>
  <si>
    <t>Emp.</t>
  </si>
  <si>
    <t>*</t>
  </si>
  <si>
    <t>Total Administration</t>
  </si>
  <si>
    <t>Professional Services</t>
  </si>
  <si>
    <t>Total Professional Services</t>
  </si>
  <si>
    <t>Total Education Services</t>
  </si>
  <si>
    <t>Total Other Services</t>
  </si>
  <si>
    <t>Cleaning staff will be hired in the second year.</t>
  </si>
  <si>
    <t>Rate: $75/day</t>
  </si>
  <si>
    <t>Contract for Principal - Pre-Opening (Jan. - June)</t>
  </si>
  <si>
    <t>Attendance %</t>
  </si>
  <si>
    <t>FRL WEIGHT</t>
  </si>
  <si>
    <t>LEP WEIGHT</t>
  </si>
  <si>
    <t>per WADA payment</t>
  </si>
  <si>
    <t>less sponsor fee</t>
  </si>
  <si>
    <t>frl</t>
  </si>
  <si>
    <t>lep</t>
  </si>
  <si>
    <t>Expected %</t>
  </si>
  <si>
    <t>count</t>
  </si>
  <si>
    <t>threshold %</t>
  </si>
  <si>
    <t>threshhold count</t>
  </si>
  <si>
    <t>for weighting</t>
  </si>
  <si>
    <t>weight</t>
  </si>
  <si>
    <t>wada</t>
  </si>
  <si>
    <t>TITLE 1</t>
  </si>
  <si>
    <t>TITLE 2</t>
  </si>
  <si>
    <t>SPED Part B</t>
  </si>
  <si>
    <t>6100 Salaries</t>
  </si>
  <si>
    <t>6200 Benefits</t>
  </si>
  <si>
    <t>6300 Purchased Services</t>
  </si>
  <si>
    <t>6400 Supplies &amp; Materials</t>
  </si>
  <si>
    <t>6500 Equipment</t>
  </si>
  <si>
    <t>Total Special Programs</t>
  </si>
  <si>
    <t>Total Business Support Services</t>
  </si>
  <si>
    <t>6600 Debt Service</t>
  </si>
  <si>
    <t>Total Operation of Plant Services</t>
  </si>
  <si>
    <t>Total Food Services</t>
  </si>
  <si>
    <t>Total Technology</t>
  </si>
  <si>
    <t>FIVE-YEAR OPERATIONAL BUDGET</t>
    <phoneticPr fontId="0" type="noConversion"/>
  </si>
  <si>
    <t>Support Services - Instructional Staff</t>
  </si>
  <si>
    <t>Facilities</t>
  </si>
  <si>
    <t>monthly</t>
  </si>
  <si>
    <t>annualized</t>
  </si>
  <si>
    <t>Total</t>
  </si>
  <si>
    <t>Rent</t>
  </si>
  <si>
    <t>Janitorial</t>
  </si>
  <si>
    <t>Electric</t>
  </si>
  <si>
    <t>Gas</t>
  </si>
  <si>
    <t>Water/Sewer</t>
  </si>
  <si>
    <t>Supplies</t>
  </si>
  <si>
    <t>Mat Service</t>
  </si>
  <si>
    <t>Repairs</t>
  </si>
  <si>
    <t>Snow Removal</t>
  </si>
  <si>
    <t>Lawn Service</t>
  </si>
  <si>
    <t>Pest Management</t>
  </si>
  <si>
    <t>communications</t>
  </si>
  <si>
    <t>Benefits</t>
  </si>
  <si>
    <t>FTE</t>
  </si>
  <si>
    <t>FICA</t>
  </si>
  <si>
    <t>Health/Dental</t>
  </si>
  <si>
    <t>Executive Admin Services</t>
  </si>
  <si>
    <t>annual cost</t>
  </si>
  <si>
    <t>expenditure object</t>
  </si>
  <si>
    <t>Commercial Insurance</t>
  </si>
  <si>
    <t>Worker's Comp</t>
  </si>
  <si>
    <t>IT support</t>
  </si>
  <si>
    <t>from 2633(wiring and other costs)</t>
  </si>
  <si>
    <t>Backoffice Services</t>
  </si>
  <si>
    <t>copy lease</t>
  </si>
  <si>
    <t>staff appreciatoin</t>
  </si>
  <si>
    <t>software license</t>
  </si>
  <si>
    <t>supplies</t>
  </si>
  <si>
    <t>sis</t>
  </si>
  <si>
    <t>student activities and after school</t>
  </si>
  <si>
    <t>Trash removal</t>
  </si>
  <si>
    <t>HVAC maintenance</t>
  </si>
  <si>
    <t>security-montiroing</t>
  </si>
  <si>
    <t>security-service</t>
  </si>
  <si>
    <t>Property Insurance</t>
  </si>
  <si>
    <t>Salaries</t>
  </si>
  <si>
    <t>SPED OT, PT, SLP</t>
  </si>
  <si>
    <t>Backoffice</t>
  </si>
  <si>
    <t>Total Board Services</t>
  </si>
  <si>
    <t>IT Support Services</t>
  </si>
  <si>
    <t>food service costs</t>
  </si>
  <si>
    <t>SPED SUPPLIES</t>
  </si>
  <si>
    <t>Local Revenue</t>
  </si>
  <si>
    <t>State Revenue</t>
  </si>
  <si>
    <t>Federal Revenue</t>
  </si>
  <si>
    <t>2015-16</t>
  </si>
  <si>
    <t>Summary:</t>
  </si>
  <si>
    <t xml:space="preserve">Pre-Opening Year: </t>
  </si>
  <si>
    <t xml:space="preserve">Five-Year Budget: </t>
  </si>
  <si>
    <t>Revenue:</t>
  </si>
  <si>
    <t>Expenses:</t>
  </si>
  <si>
    <t xml:space="preserve">Revenue: </t>
  </si>
  <si>
    <r>
      <t>Expense:</t>
    </r>
    <r>
      <rPr>
        <sz val="11"/>
        <color indexed="8"/>
        <rFont val="Garamond"/>
        <family val="1"/>
      </rPr>
      <t xml:space="preserve"> </t>
    </r>
  </si>
  <si>
    <r>
      <t xml:space="preserve">Year 1 opening cash balance: </t>
    </r>
    <r>
      <rPr>
        <sz val="11"/>
        <color indexed="8"/>
        <rFont val="Garamond"/>
        <family val="1"/>
      </rPr>
      <t xml:space="preserve">We anticipate a year 1 opening balance of </t>
    </r>
  </si>
  <si>
    <t>annaul raise:</t>
  </si>
  <si>
    <t>1st</t>
  </si>
  <si>
    <t>2nd</t>
  </si>
  <si>
    <t>3rd</t>
  </si>
  <si>
    <t>4th</t>
  </si>
  <si>
    <t>5th</t>
  </si>
  <si>
    <t>Core Instructional Staff</t>
  </si>
  <si>
    <t>Enrichment Staff</t>
  </si>
  <si>
    <t>Social Worker</t>
  </si>
  <si>
    <t>Support Staff</t>
  </si>
  <si>
    <t>Operations Staff</t>
  </si>
  <si>
    <t>year 3</t>
  </si>
  <si>
    <t>year 4</t>
  </si>
  <si>
    <t>year 5</t>
  </si>
  <si>
    <t>K</t>
  </si>
  <si>
    <t>Curriculum</t>
  </si>
  <si>
    <t>25/student</t>
  </si>
  <si>
    <t>Classroom Paper and Supplies</t>
  </si>
  <si>
    <t>Computers/Tablets</t>
  </si>
  <si>
    <t>Software</t>
  </si>
  <si>
    <t>Instructional Equipment/Technology</t>
  </si>
  <si>
    <t xml:space="preserve">Library and Media Center </t>
  </si>
  <si>
    <t>Assessment</t>
  </si>
  <si>
    <t>10/student</t>
  </si>
  <si>
    <t>Budget Item</t>
  </si>
  <si>
    <t>Assumption</t>
  </si>
  <si>
    <t>Function</t>
  </si>
  <si>
    <t>Expenditure</t>
  </si>
  <si>
    <t>Enrollment:</t>
  </si>
  <si>
    <t>300/new classrom</t>
  </si>
  <si>
    <t>1000/new instructional staff</t>
  </si>
  <si>
    <t>Before/After Care</t>
  </si>
  <si>
    <t>FISHER ACADEMY  Budget Assumptions</t>
  </si>
  <si>
    <t xml:space="preserve">Fisher Academy has carefully planned its first five years to provide both a solid foundation for academic achievement and strong financial management. </t>
  </si>
  <si>
    <t>150/student</t>
  </si>
  <si>
    <t>STLPSRS</t>
  </si>
  <si>
    <t>Food Service</t>
  </si>
  <si>
    <t>Beginning Cash Balance</t>
  </si>
  <si>
    <t>REVENUES</t>
  </si>
  <si>
    <t>Local</t>
  </si>
  <si>
    <t>State</t>
  </si>
  <si>
    <t>Federal</t>
  </si>
  <si>
    <t>TOTAL REVENUES</t>
  </si>
  <si>
    <t>EXPENDITURES</t>
  </si>
  <si>
    <t>SURPLUS</t>
  </si>
  <si>
    <t>Ending Cash Balance</t>
  </si>
  <si>
    <t>paid with title funds</t>
  </si>
  <si>
    <t>Field Trips</t>
  </si>
  <si>
    <t>Parent Involvement</t>
  </si>
  <si>
    <t>faculty recruitment expense</t>
  </si>
  <si>
    <t>funded by title 1</t>
  </si>
  <si>
    <t>Total Facility Costs</t>
  </si>
  <si>
    <t>100/sped student</t>
  </si>
  <si>
    <t>Total Expenditures</t>
  </si>
  <si>
    <t>Pre-Opening Year</t>
  </si>
  <si>
    <r>
      <t xml:space="preserve">State: </t>
    </r>
    <r>
      <rPr>
        <sz val="10"/>
        <color indexed="8"/>
        <rFont val="Garamond"/>
        <family val="1"/>
      </rPr>
      <t xml:space="preserve">The budget includes basic formula payments of 8150 per WADA (inclusive of classroom trust fund from the second year of operation), from which 1.5% of the payments will be directed to our sponsor. St. Louis charter schools received basic formula payments of $8150 per WADA in the 2015-16 school year, according to their June 2016 DESE payment transmittal calculations. Fisher Academy has not built any basic formula revenue increases into our five-year budget. Note that the sponsor payment calculation is shown on the revenue calculation workbook included in the budget exhibit, and is explicitly withheld from expected state funding. Also, while Fisher Academy expects 95% ADA, we have set the attendance percentage to 91% to be conservative. </t>
    </r>
  </si>
  <si>
    <r>
      <t xml:space="preserve">Local: </t>
    </r>
    <r>
      <rPr>
        <sz val="10"/>
        <color indexed="8"/>
        <rFont val="Garamond"/>
        <family val="1"/>
      </rPr>
      <t>From year 2 onwards, the budget assumes Proposition C funding at $952 per prior year WADA (15-16 funding level), which will supplement the Basic Formula.  No Proposition C revenue increase has been included in the out years.</t>
    </r>
  </si>
  <si>
    <r>
      <t xml:space="preserve">Federal:  </t>
    </r>
    <r>
      <rPr>
        <sz val="10"/>
        <color indexed="8"/>
        <rFont val="Garamond"/>
        <family val="1"/>
      </rPr>
      <t>Title 1, Title 2, and SPED Part B funding has been project using 2013-14 and 2014-15 data on the DESE website. Food service revenue has been projected using published NSLP reimbursement rates, and has been projected at 5% less than food service expenses to be conservative.</t>
    </r>
  </si>
  <si>
    <r>
      <t xml:space="preserve">Salaries: </t>
    </r>
    <r>
      <rPr>
        <sz val="10"/>
        <color indexed="8"/>
        <rFont val="Garamond"/>
        <family val="1"/>
      </rPr>
      <t xml:space="preserve">Salaries have been projected using SLPS salary schedule information and our desire to have experienced teachers. The average Year 1 salary of 45K is equivalent to a teacher on step 4 of Normandy School District salary schedule and a master's degree. We have included a 2% yearly salary increase for all Fisher Academy charter staff. </t>
    </r>
  </si>
  <si>
    <r>
      <t xml:space="preserve">Benefits: </t>
    </r>
    <r>
      <rPr>
        <sz val="10"/>
        <color indexed="8"/>
        <rFont val="Garamond"/>
        <family val="1"/>
      </rPr>
      <t xml:space="preserve">Benefits have been projected in the following way: </t>
    </r>
    <r>
      <rPr>
        <b/>
        <sz val="10"/>
        <color indexed="8"/>
        <rFont val="Garamond"/>
        <family val="1"/>
      </rPr>
      <t>7.65%</t>
    </r>
    <r>
      <rPr>
        <sz val="10"/>
        <color indexed="8"/>
        <rFont val="Garamond"/>
        <family val="1"/>
      </rPr>
      <t xml:space="preserve"> of salaries for FICA/medicare, </t>
    </r>
    <r>
      <rPr>
        <b/>
        <sz val="10"/>
        <color indexed="8"/>
        <rFont val="Garamond"/>
        <family val="1"/>
      </rPr>
      <t>15.14%  retirement</t>
    </r>
    <r>
      <rPr>
        <sz val="10"/>
        <color indexed="8"/>
        <rFont val="Garamond"/>
        <family val="1"/>
      </rPr>
      <t xml:space="preserve">, and 350/month/employee allocation for health/dental premiums. </t>
    </r>
  </si>
  <si>
    <r>
      <t xml:space="preserve">Classroom Instruction (1111):  </t>
    </r>
    <r>
      <rPr>
        <sz val="10"/>
        <color indexed="8"/>
        <rFont val="Garamond"/>
        <family val="1"/>
      </rPr>
      <t>Salaries in this cateogry include instructional staff. Purchased services reflect anticipated instructional software and substitute teacher costs. Supplies and materials reflect classroom curriculum and instructional materials ($100 per student for curriculum, $25 per student for classroom supplies, $50/student for software.</t>
    </r>
  </si>
  <si>
    <r>
      <t>Special Education Services (1221):</t>
    </r>
    <r>
      <rPr>
        <sz val="10"/>
        <color indexed="8"/>
        <rFont val="Garamond"/>
        <family val="1"/>
      </rPr>
      <t>We have budgeted for additional contracted special education services throughout the five year term, based on a 10% special education student population, and contracted services at $1,000 per identified student.  Supplies are projected at $25 per identified student.</t>
    </r>
  </si>
  <si>
    <r>
      <t xml:space="preserve">Support Services (2114): </t>
    </r>
    <r>
      <rPr>
        <sz val="10"/>
        <color indexed="8"/>
        <rFont val="Garamond"/>
        <family val="1"/>
      </rPr>
      <t xml:space="preserve"> The purchased services reflect student information system license fee</t>
    </r>
  </si>
  <si>
    <r>
      <t xml:space="preserve">Professional Development (2213): </t>
    </r>
    <r>
      <rPr>
        <sz val="10"/>
        <color indexed="8"/>
        <rFont val="Garamond"/>
        <family val="1"/>
      </rPr>
      <t>Funded primarily through Title 2, with Title 1 funds also supporting to ensure staff have sufficient training and development to be effective in the school's unique model.</t>
    </r>
  </si>
  <si>
    <r>
      <rPr>
        <i/>
        <sz val="10"/>
        <color indexed="8"/>
        <rFont val="Garamond"/>
        <family val="1"/>
      </rPr>
      <t>Board Services</t>
    </r>
    <r>
      <rPr>
        <sz val="10"/>
        <color indexed="8"/>
        <rFont val="Garamond"/>
        <family val="1"/>
      </rPr>
      <t>(2311): Includes allocations for audit, legal services, and liabiilty insurance based on comps from other charters.</t>
    </r>
  </si>
  <si>
    <r>
      <t xml:space="preserve">Business Support Services (2511): </t>
    </r>
    <r>
      <rPr>
        <sz val="10"/>
        <color indexed="8"/>
        <rFont val="Garamond"/>
        <family val="1"/>
      </rPr>
      <t xml:space="preserve">Purchased services includes backoffice financial support and copier lease at 1,000/month per copier. </t>
    </r>
  </si>
  <si>
    <r>
      <t xml:space="preserve">Operation of Plant Services (2541):  </t>
    </r>
    <r>
      <rPr>
        <sz val="10"/>
        <color indexed="8"/>
        <rFont val="Garamond"/>
        <family val="1"/>
      </rPr>
      <t>Fisher Academy has identified a facility and is currently working with property owners on a lease to own transaction. We have set plant operation costs at $5/square ft. Plant Services include these operational costs, as well as rent in years 1-2, and payments on 3 loans used to incrementally renovate and acquire the facility. Also worth noting, in year 4, Fisher Academy will put in reserve 125K and in year 5, 225K for the buildout of a science lab, in alignment with school mission and vision.</t>
    </r>
  </si>
  <si>
    <r>
      <t xml:space="preserve">Food (2563): </t>
    </r>
    <r>
      <rPr>
        <sz val="10"/>
        <color indexed="8"/>
        <rFont val="Garamond"/>
        <family val="1"/>
      </rPr>
      <t xml:space="preserve">Fisher Academy charter expects to participate in CEP program, but has nonethless </t>
    </r>
    <r>
      <rPr>
        <b/>
        <u/>
        <sz val="10"/>
        <color indexed="8"/>
        <rFont val="Garamond"/>
        <family val="1"/>
      </rPr>
      <t>built in a 5% cushion for food expenses to exceed revenue</t>
    </r>
    <r>
      <rPr>
        <sz val="10"/>
        <color indexed="8"/>
        <rFont val="Garamond"/>
        <family val="1"/>
      </rPr>
      <t xml:space="preserve"> - and to be conservative have not included any revenue from sales to students who do not quilify for the federal free and reduced lunch program. Expenses are projected at $5/day per student. </t>
    </r>
  </si>
  <si>
    <r>
      <t xml:space="preserve">Technology (2661): </t>
    </r>
    <r>
      <rPr>
        <sz val="10"/>
        <color indexed="8"/>
        <rFont val="Garamond"/>
        <family val="1"/>
      </rPr>
      <t>Purchased Services include IT support services as well as planned technology purchases to meet the vision of the school.</t>
    </r>
  </si>
  <si>
    <t>$/Student</t>
  </si>
  <si>
    <t>750/copier/month</t>
  </si>
  <si>
    <t>TITLE 4</t>
  </si>
  <si>
    <t>SPED Teacher</t>
  </si>
  <si>
    <t>Nurse</t>
  </si>
  <si>
    <t>Backoffice Support</t>
  </si>
  <si>
    <t>COMMUNITY LAB ACADEMY YEAR 1 CASH FLOW</t>
  </si>
  <si>
    <t>60/student/fieldtrip</t>
  </si>
  <si>
    <t>INSURANCE - Property and Liability</t>
  </si>
  <si>
    <t>150/month</t>
  </si>
  <si>
    <t>Transportation</t>
  </si>
  <si>
    <t>Total Transportation Services</t>
  </si>
  <si>
    <t>Remedial ADA</t>
  </si>
  <si>
    <t>Summer ADA</t>
  </si>
  <si>
    <t>Teaching Aide</t>
  </si>
  <si>
    <t>4000/new classroom</t>
  </si>
  <si>
    <t>Executive Director</t>
  </si>
  <si>
    <t>Head of School</t>
  </si>
  <si>
    <t>Atlas Public Schools</t>
  </si>
  <si>
    <t>2024-2025</t>
  </si>
  <si>
    <t>2025-2026</t>
  </si>
  <si>
    <t>Art</t>
  </si>
  <si>
    <t>Music</t>
  </si>
  <si>
    <t>PE</t>
  </si>
  <si>
    <t>Director of Student Support</t>
  </si>
  <si>
    <t>Director of Strategic Partnerships</t>
  </si>
  <si>
    <t>Building Operations Manager</t>
  </si>
  <si>
    <t>Prop C</t>
  </si>
  <si>
    <t>Bank Fees</t>
  </si>
  <si>
    <t>DUES &amp; SUBSCRIPTIONS</t>
  </si>
  <si>
    <t>Total Executive Admin Services</t>
  </si>
  <si>
    <t xml:space="preserve">Professional Development </t>
  </si>
  <si>
    <t>Colby Heckendorn</t>
  </si>
  <si>
    <t>Genevieve Backer</t>
  </si>
  <si>
    <t>Tierrus Nance</t>
  </si>
  <si>
    <t>Heather Fitzsimmons</t>
  </si>
  <si>
    <t>Jenny Humphrey</t>
  </si>
  <si>
    <t>Andrew Moore</t>
  </si>
  <si>
    <t>Erin Heckendorn</t>
  </si>
  <si>
    <t>Dorie Ranheim</t>
  </si>
  <si>
    <t>Haley Biehl</t>
  </si>
  <si>
    <t>Carolyn Bryant</t>
  </si>
  <si>
    <t>Kristine Terrance</t>
  </si>
  <si>
    <t>Derron Cason</t>
  </si>
  <si>
    <t>Starting Salary</t>
  </si>
  <si>
    <t>Opening Balance 7/1</t>
  </si>
  <si>
    <t>Operating Income</t>
  </si>
  <si>
    <t>Year End Balance</t>
  </si>
  <si>
    <t>DESE Fund Balance</t>
  </si>
  <si>
    <t>Kelly Valentine</t>
  </si>
  <si>
    <t>Object</t>
  </si>
  <si>
    <t>Visual &amp; Performing Arts Materials</t>
  </si>
  <si>
    <t>Building Subs</t>
  </si>
  <si>
    <t>Classroom Equipment</t>
  </si>
  <si>
    <t>Teacher Laptops</t>
  </si>
  <si>
    <t>Software Subscriptions</t>
  </si>
  <si>
    <t>Executive Director - Supplies/Other</t>
  </si>
  <si>
    <t>Head of School - Supplies/Other</t>
  </si>
  <si>
    <t>Office Supplies</t>
  </si>
  <si>
    <t>Maitenance supplies</t>
  </si>
  <si>
    <t>Student Recruitment Expense</t>
  </si>
  <si>
    <t>Leasehold Improvements</t>
  </si>
  <si>
    <t>Fund</t>
  </si>
  <si>
    <t>ESSERS Revenue</t>
  </si>
  <si>
    <t>Jeff Hood</t>
  </si>
  <si>
    <t>Rent $3/sf on 9,133 sf</t>
  </si>
  <si>
    <t>K-5 Enrollment</t>
  </si>
  <si>
    <t>Ashley Wildermuth</t>
  </si>
  <si>
    <t>Dezara Miles</t>
  </si>
  <si>
    <t>Director of Operations</t>
  </si>
  <si>
    <t>Emily Meininger</t>
  </si>
  <si>
    <t>22-23</t>
  </si>
  <si>
    <t>23-24</t>
  </si>
  <si>
    <t>24-25</t>
  </si>
  <si>
    <t>25-26</t>
  </si>
  <si>
    <t>26-27</t>
  </si>
  <si>
    <t>Babe Liberman</t>
  </si>
  <si>
    <t>Antron Rose</t>
  </si>
  <si>
    <t>Dwayne Upchurch</t>
  </si>
  <si>
    <t>Manirah Agans</t>
  </si>
  <si>
    <t>Office Manager</t>
  </si>
  <si>
    <t>year 6</t>
  </si>
  <si>
    <t>Atlas Staffing Worksheet</t>
  </si>
  <si>
    <t>Category</t>
  </si>
  <si>
    <t>Employee</t>
  </si>
  <si>
    <t>Revenue Calculation</t>
  </si>
  <si>
    <t>2022-2023</t>
  </si>
  <si>
    <t>2023-2024</t>
  </si>
  <si>
    <t>2026-2027</t>
  </si>
  <si>
    <t>Local Revenue Worksheet</t>
  </si>
  <si>
    <t>Grant from the Opportunity Trust - Additional Seats</t>
  </si>
  <si>
    <t>Grant from the Opportunity Trust - Dir. of St. Part.</t>
  </si>
  <si>
    <t>Grant from New School Venture Fund</t>
  </si>
  <si>
    <t>Atlas Enrollment</t>
  </si>
  <si>
    <t>Projection</t>
  </si>
  <si>
    <t>ESSERS Expenditures</t>
  </si>
  <si>
    <t>Operation of Plant</t>
  </si>
  <si>
    <t>Debt Service on Leasehold Improvement Loan - $21,345.15 x 12</t>
  </si>
  <si>
    <t>square footage allocation of facility with 100 sq ft/student</t>
  </si>
  <si>
    <t>Rent/Debt Service at $10/sf</t>
  </si>
  <si>
    <t xml:space="preserve">Operating Costs Allocation at $7/sf </t>
  </si>
  <si>
    <t>Federal Revenue Worksheet</t>
  </si>
  <si>
    <t>Atlas Purchased Services &amp; Supplies Detail</t>
  </si>
  <si>
    <t xml:space="preserve">Total: </t>
  </si>
  <si>
    <t>5.70/day/student</t>
  </si>
  <si>
    <t>Utilities</t>
  </si>
  <si>
    <t>INSURANCE - Workers' Comp</t>
  </si>
  <si>
    <t>INSURANCE - D&amp;O</t>
  </si>
  <si>
    <t>SOFTWARE - SIS</t>
  </si>
  <si>
    <t>Contractual Services Worksheet</t>
  </si>
  <si>
    <t>Total:</t>
  </si>
  <si>
    <t>Math Teacher - KG</t>
  </si>
  <si>
    <t>Math Teacher - 1st</t>
  </si>
  <si>
    <t>Delaney Squires</t>
  </si>
  <si>
    <t>Dateeral Williams</t>
  </si>
  <si>
    <t>Tory Christian</t>
  </si>
  <si>
    <t>Alecia Herndon</t>
  </si>
  <si>
    <t>Erika Byrd</t>
  </si>
  <si>
    <t>Carly Faye</t>
  </si>
  <si>
    <t>Martin Hofkamp</t>
  </si>
  <si>
    <t>Myra Stull</t>
  </si>
  <si>
    <t>Morgan Spano</t>
  </si>
  <si>
    <t>Kindergarten</t>
  </si>
  <si>
    <t>2000/sped student</t>
  </si>
  <si>
    <t>Cortex Access - $250 per month</t>
  </si>
  <si>
    <t>Total Regular Programs</t>
  </si>
  <si>
    <t>Total Support Services - Pupils</t>
  </si>
  <si>
    <t>Total Support Services - Instructional Staff</t>
  </si>
  <si>
    <t>Support Services - Building Level Administration</t>
  </si>
  <si>
    <t>Total Support Services - Central Office</t>
  </si>
  <si>
    <t>Business Support Services - Operation of Plant</t>
  </si>
  <si>
    <t>Business Support Services - Food Service</t>
  </si>
  <si>
    <t>Support Servieces - Central Office</t>
  </si>
  <si>
    <t>75/student</t>
  </si>
  <si>
    <t>Atum Jones</t>
  </si>
  <si>
    <t>100/student</t>
  </si>
  <si>
    <t>Barbara Gammage</t>
  </si>
  <si>
    <t>Matt Candelario</t>
  </si>
  <si>
    <t xml:space="preserve">Dean of Instruction - ELA </t>
  </si>
  <si>
    <t>Dean of Instruction - Math</t>
  </si>
  <si>
    <t>Emily Zilm</t>
  </si>
  <si>
    <t>Math Teacher - 2nd</t>
  </si>
  <si>
    <t xml:space="preserve">Math Teacher </t>
  </si>
  <si>
    <t>Maria Peetz</t>
  </si>
  <si>
    <t>School Support Specialist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</si>
</sst>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0.0"/>
    <numFmt numFmtId="167" formatCode="#,##0.0_);\(#,##0.0\)"/>
    <numFmt numFmtId="168" formatCode="&quot;$&quot;#,##0"/>
    <numFmt numFmtId="169" formatCode="0.0%"/>
    <numFmt numFmtId="170" formatCode="_(* #,##0.0_);_(* \(#,##0.0\);_(* &quot;-&quot;?_);_(@_)"/>
    <numFmt numFmtId="171" formatCode="_(* #,##0.00_);_(* \(#,##0.00\);_(* &quot;-&quot;_);_(@_)"/>
  </numFmts>
  <fonts count="47" x14ac:knownFonts="1">
    <font>
      <sz val="10"/>
      <name val="Arial"/>
    </font>
    <font>
      <sz val="10"/>
      <name val="Arial"/>
      <family val="2"/>
    </font>
    <font>
      <b/>
      <sz val="10"/>
      <name val="Arial"/>
      <family val="2"/>
    </font>
    <font>
      <b/>
      <sz val="12"/>
      <name val="Arial"/>
      <family val="2"/>
    </font>
    <font>
      <sz val="10"/>
      <name val="Arial"/>
      <family val="2"/>
    </font>
    <font>
      <sz val="8"/>
      <name val="Arial"/>
      <family val="2"/>
    </font>
    <font>
      <sz val="8"/>
      <name val="Verdana"/>
      <family val="2"/>
    </font>
    <font>
      <sz val="12"/>
      <name val="Arial"/>
      <family val="2"/>
    </font>
    <font>
      <sz val="10"/>
      <name val="Arial"/>
      <family val="2"/>
    </font>
    <font>
      <sz val="12"/>
      <name val="Arial"/>
      <family val="2"/>
    </font>
    <font>
      <b/>
      <sz val="11"/>
      <name val="Arial"/>
      <family val="2"/>
    </font>
    <font>
      <sz val="11"/>
      <name val="Arial"/>
      <family val="2"/>
    </font>
    <font>
      <sz val="9"/>
      <name val="Arial"/>
      <family val="2"/>
    </font>
    <font>
      <i/>
      <sz val="11"/>
      <name val="Arial"/>
      <family val="2"/>
    </font>
    <font>
      <sz val="10"/>
      <name val="Book Antiqua"/>
      <family val="1"/>
    </font>
    <font>
      <i/>
      <sz val="10"/>
      <name val="Arial"/>
      <family val="2"/>
    </font>
    <font>
      <u/>
      <sz val="10"/>
      <name val="Arial"/>
      <family val="2"/>
    </font>
    <font>
      <sz val="10"/>
      <color indexed="8"/>
      <name val="Arial"/>
      <family val="2"/>
    </font>
    <font>
      <sz val="10"/>
      <name val="Arial"/>
      <family val="2"/>
    </font>
    <font>
      <sz val="10"/>
      <name val="Arial"/>
      <family val="2"/>
    </font>
    <font>
      <sz val="11"/>
      <color indexed="8"/>
      <name val="Garamond"/>
      <family val="1"/>
    </font>
    <font>
      <b/>
      <sz val="16"/>
      <name val="Arial"/>
      <family val="2"/>
    </font>
    <font>
      <b/>
      <u/>
      <sz val="10"/>
      <name val="Arial"/>
      <family val="2"/>
    </font>
    <font>
      <sz val="14"/>
      <name val="Arial"/>
      <family val="2"/>
    </font>
    <font>
      <b/>
      <u/>
      <sz val="9"/>
      <name val="Arial"/>
      <family val="2"/>
    </font>
    <font>
      <b/>
      <sz val="9"/>
      <name val="Arial"/>
      <family val="2"/>
    </font>
    <font>
      <sz val="10"/>
      <color indexed="8"/>
      <name val="Garamond"/>
      <family val="1"/>
    </font>
    <font>
      <b/>
      <sz val="10"/>
      <color indexed="8"/>
      <name val="Garamond"/>
      <family val="1"/>
    </font>
    <font>
      <i/>
      <sz val="10"/>
      <color indexed="8"/>
      <name val="Garamond"/>
      <family val="1"/>
    </font>
    <font>
      <b/>
      <u/>
      <sz val="10"/>
      <color indexed="8"/>
      <name val="Garamond"/>
      <family val="1"/>
    </font>
    <font>
      <sz val="10"/>
      <name val="Calibri"/>
      <family val="2"/>
    </font>
    <font>
      <b/>
      <sz val="11"/>
      <color theme="1"/>
      <name val="Calibri"/>
      <family val="2"/>
      <scheme val="minor"/>
    </font>
    <font>
      <sz val="10"/>
      <color rgb="FFFF0000"/>
      <name val="Arial"/>
      <family val="2"/>
    </font>
    <font>
      <sz val="11"/>
      <color rgb="FF000000"/>
      <name val="Arial"/>
      <family val="2"/>
    </font>
    <font>
      <b/>
      <sz val="11"/>
      <color rgb="FF000000"/>
      <name val="Garamond"/>
      <family val="1"/>
    </font>
    <font>
      <b/>
      <u/>
      <sz val="11"/>
      <color rgb="FF000000"/>
      <name val="Garamond"/>
      <family val="1"/>
    </font>
    <font>
      <b/>
      <i/>
      <sz val="11"/>
      <color rgb="FF000000"/>
      <name val="Garamond"/>
      <family val="1"/>
    </font>
    <font>
      <i/>
      <sz val="11"/>
      <color rgb="FF000000"/>
      <name val="Garamond"/>
      <family val="1"/>
    </font>
    <font>
      <sz val="11"/>
      <color rgb="FF000000"/>
      <name val="Garamond"/>
      <family val="1"/>
    </font>
    <font>
      <b/>
      <sz val="12"/>
      <color theme="1"/>
      <name val="Arial"/>
      <family val="2"/>
    </font>
    <font>
      <sz val="12"/>
      <color theme="1"/>
      <name val="Arial"/>
      <family val="2"/>
    </font>
    <font>
      <sz val="10"/>
      <color theme="1"/>
      <name val="Arial"/>
      <family val="2"/>
    </font>
    <font>
      <sz val="10"/>
      <color rgb="FF000000"/>
      <name val="Garamond"/>
      <family val="1"/>
    </font>
    <font>
      <i/>
      <sz val="10"/>
      <color rgb="FF000000"/>
      <name val="Garamond"/>
      <family val="1"/>
    </font>
    <font>
      <b/>
      <sz val="10"/>
      <color theme="6" tint="0.39997558519241921"/>
      <name val="Arial"/>
      <family val="2"/>
    </font>
    <font>
      <b/>
      <sz val="14"/>
      <name val="Arial"/>
      <family val="2"/>
    </font>
    <font>
      <b/>
      <sz val="14"/>
      <color indexed="8"/>
      <name val="Arial"/>
      <family val="2"/>
    </font>
  </fonts>
  <fills count="10">
    <fill>
      <patternFill patternType="none"/>
    </fill>
    <fill>
      <patternFill patternType="gray125"/>
    </fill>
    <fill>
      <patternFill patternType="solid">
        <fgColor indexed="23"/>
        <bgColor indexed="64"/>
      </patternFill>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6"/>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6" tint="0.59999389629810485"/>
        <bgColor indexed="64"/>
      </patternFill>
    </fill>
  </fills>
  <borders count="53">
    <border>
      <left/>
      <right/>
      <top/>
      <bottom/>
      <diagonal/>
    </border>
    <border>
      <left/>
      <right/>
      <top/>
      <bottom style="thin">
        <color indexed="64"/>
      </bottom>
      <diagonal/>
    </border>
    <border>
      <left/>
      <right/>
      <top style="thin">
        <color indexed="64"/>
      </top>
      <bottom style="double">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bottom style="thick">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top style="thin">
        <color indexed="64"/>
      </top>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medium">
        <color indexed="64"/>
      </left>
      <right style="thick">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style="medium">
        <color indexed="64"/>
      </right>
      <top style="medium">
        <color indexed="64"/>
      </top>
      <bottom style="thick">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medium">
        <color indexed="64"/>
      </left>
      <right style="medium">
        <color indexed="64"/>
      </right>
      <top style="medium">
        <color indexed="64"/>
      </top>
      <bottom style="thick">
        <color indexed="64"/>
      </bottom>
      <diagonal/>
    </border>
    <border>
      <left style="thick">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6">
    <xf numFmtId="0" fontId="0" fillId="0" borderId="0"/>
    <xf numFmtId="43" fontId="1"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44" fontId="4" fillId="0" borderId="0" applyFont="0" applyFill="0" applyBorder="0" applyAlignment="0" applyProtection="0"/>
    <xf numFmtId="0" fontId="4" fillId="0" borderId="0"/>
  </cellStyleXfs>
  <cellXfs count="435">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xf>
    <xf numFmtId="0" fontId="2" fillId="0" borderId="0" xfId="0" applyFont="1" applyBorder="1" applyAlignment="1">
      <alignment horizontal="center"/>
    </xf>
    <xf numFmtId="164" fontId="0" fillId="0" borderId="0" xfId="3" applyNumberFormat="1" applyFont="1"/>
    <xf numFmtId="0" fontId="2" fillId="0" borderId="0" xfId="0" quotePrefix="1" applyFont="1"/>
    <xf numFmtId="165" fontId="0" fillId="0" borderId="0" xfId="1" applyNumberFormat="1" applyFont="1" applyFill="1"/>
    <xf numFmtId="0" fontId="0" fillId="0" borderId="0" xfId="0" applyBorder="1"/>
    <xf numFmtId="0" fontId="0" fillId="0" borderId="0" xfId="0" applyFill="1"/>
    <xf numFmtId="164" fontId="0" fillId="0" borderId="0" xfId="3" applyNumberFormat="1" applyFont="1" applyFill="1"/>
    <xf numFmtId="164" fontId="2" fillId="0" borderId="0" xfId="3" applyNumberFormat="1" applyFont="1" applyFill="1" applyBorder="1"/>
    <xf numFmtId="0" fontId="0" fillId="2" borderId="0" xfId="0" applyFill="1"/>
    <xf numFmtId="0" fontId="2" fillId="2" borderId="0" xfId="0" applyFont="1" applyFill="1"/>
    <xf numFmtId="164" fontId="2" fillId="0" borderId="0" xfId="0" applyNumberFormat="1" applyFont="1" applyAlignment="1">
      <alignment horizontal="right"/>
    </xf>
    <xf numFmtId="0" fontId="0" fillId="0" borderId="0" xfId="0" applyAlignment="1">
      <alignment wrapText="1"/>
    </xf>
    <xf numFmtId="0" fontId="1" fillId="0" borderId="0" xfId="0" applyFont="1" applyAlignment="1">
      <alignment horizontal="left" wrapText="1"/>
    </xf>
    <xf numFmtId="0" fontId="2" fillId="2" borderId="0" xfId="0" applyFont="1" applyFill="1" applyAlignment="1">
      <alignment horizontal="right" wrapText="1"/>
    </xf>
    <xf numFmtId="0" fontId="4" fillId="0" borderId="0" xfId="0" applyFont="1" applyAlignment="1">
      <alignment wrapText="1"/>
    </xf>
    <xf numFmtId="0" fontId="7" fillId="0" borderId="0" xfId="0" applyFont="1"/>
    <xf numFmtId="0" fontId="3" fillId="0" borderId="0" xfId="0" applyFont="1" applyBorder="1" applyAlignment="1">
      <alignment horizontal="center"/>
    </xf>
    <xf numFmtId="0" fontId="3" fillId="0" borderId="1" xfId="0" applyFont="1" applyBorder="1" applyAlignment="1">
      <alignment horizontal="center"/>
    </xf>
    <xf numFmtId="0" fontId="3" fillId="0" borderId="0" xfId="0" applyFont="1"/>
    <xf numFmtId="0" fontId="7" fillId="0" borderId="0" xfId="0" applyFont="1" applyFill="1"/>
    <xf numFmtId="164" fontId="3" fillId="0" borderId="0" xfId="3" applyNumberFormat="1" applyFont="1" applyFill="1" applyBorder="1"/>
    <xf numFmtId="0" fontId="3" fillId="0" borderId="0" xfId="0" quotePrefix="1" applyFont="1"/>
    <xf numFmtId="0" fontId="3" fillId="2" borderId="0" xfId="0" applyFont="1" applyFill="1"/>
    <xf numFmtId="0" fontId="7" fillId="2" borderId="0" xfId="0" applyFont="1" applyFill="1"/>
    <xf numFmtId="164" fontId="3" fillId="0" borderId="0" xfId="0" applyNumberFormat="1" applyFont="1" applyAlignment="1">
      <alignment horizontal="right"/>
    </xf>
    <xf numFmtId="0" fontId="7" fillId="0" borderId="0" xfId="0" applyFont="1" applyAlignment="1">
      <alignment wrapText="1"/>
    </xf>
    <xf numFmtId="0" fontId="7" fillId="0" borderId="0" xfId="0" applyFont="1" applyAlignment="1">
      <alignment horizontal="left" wrapText="1"/>
    </xf>
    <xf numFmtId="0" fontId="3" fillId="2" borderId="0" xfId="0" applyFont="1" applyFill="1" applyAlignment="1">
      <alignment horizontal="right" wrapText="1"/>
    </xf>
    <xf numFmtId="0" fontId="0" fillId="0" borderId="0" xfId="0" applyAlignment="1">
      <alignment horizontal="center"/>
    </xf>
    <xf numFmtId="0" fontId="7" fillId="0" borderId="0" xfId="0" applyFont="1" applyAlignment="1">
      <alignment horizontal="center"/>
    </xf>
    <xf numFmtId="0" fontId="9" fillId="0" borderId="0" xfId="0" applyFont="1" applyAlignment="1">
      <alignment horizontal="center"/>
    </xf>
    <xf numFmtId="0" fontId="9" fillId="0" borderId="0" xfId="0" applyFont="1"/>
    <xf numFmtId="0" fontId="8" fillId="0" borderId="0" xfId="0" applyFont="1" applyFill="1"/>
    <xf numFmtId="0" fontId="8" fillId="0" borderId="0" xfId="0" applyFont="1"/>
    <xf numFmtId="0" fontId="10" fillId="0" borderId="0" xfId="0" applyFont="1" applyBorder="1" applyAlignment="1">
      <alignment horizontal="center"/>
    </xf>
    <xf numFmtId="0" fontId="10" fillId="0" borderId="0" xfId="0" applyFont="1" applyBorder="1" applyAlignment="1">
      <alignment horizontal="left"/>
    </xf>
    <xf numFmtId="0" fontId="11" fillId="0" borderId="0" xfId="0" applyFont="1" applyFill="1"/>
    <xf numFmtId="168" fontId="0" fillId="0" borderId="0" xfId="0" applyNumberFormat="1"/>
    <xf numFmtId="0" fontId="4" fillId="0" borderId="0" xfId="0" applyFont="1"/>
    <xf numFmtId="0" fontId="4" fillId="0" borderId="0" xfId="0" applyFont="1" applyFill="1"/>
    <xf numFmtId="0" fontId="4" fillId="0" borderId="0" xfId="0" applyFont="1" applyAlignment="1">
      <alignment horizontal="center"/>
    </xf>
    <xf numFmtId="164" fontId="2" fillId="0" borderId="2" xfId="3" applyNumberFormat="1" applyFont="1" applyBorder="1"/>
    <xf numFmtId="0" fontId="15" fillId="0" borderId="0" xfId="0" applyFont="1"/>
    <xf numFmtId="0" fontId="0" fillId="0" borderId="1" xfId="0" applyFill="1" applyBorder="1"/>
    <xf numFmtId="164" fontId="0" fillId="0" borderId="1" xfId="3" applyNumberFormat="1" applyFont="1" applyFill="1" applyBorder="1"/>
    <xf numFmtId="0" fontId="8" fillId="0" borderId="1" xfId="0" applyFont="1" applyFill="1" applyBorder="1"/>
    <xf numFmtId="164" fontId="0" fillId="0" borderId="0" xfId="3" applyNumberFormat="1" applyFont="1" applyFill="1" applyBorder="1"/>
    <xf numFmtId="165" fontId="0" fillId="0" borderId="0" xfId="1" applyNumberFormat="1" applyFont="1" applyFill="1" applyBorder="1"/>
    <xf numFmtId="164" fontId="2" fillId="0" borderId="0" xfId="3" applyNumberFormat="1" applyFont="1" applyBorder="1"/>
    <xf numFmtId="168" fontId="0" fillId="0" borderId="0" xfId="0" applyNumberFormat="1" applyFill="1"/>
    <xf numFmtId="168" fontId="0" fillId="0" borderId="0" xfId="3" applyNumberFormat="1" applyFont="1" applyFill="1"/>
    <xf numFmtId="168" fontId="8" fillId="0" borderId="0" xfId="0" applyNumberFormat="1" applyFont="1" applyFill="1"/>
    <xf numFmtId="168" fontId="4" fillId="0" borderId="0" xfId="0" applyNumberFormat="1" applyFont="1" applyFill="1"/>
    <xf numFmtId="168" fontId="8" fillId="0" borderId="0" xfId="0" applyNumberFormat="1" applyFont="1"/>
    <xf numFmtId="3" fontId="0" fillId="0" borderId="0" xfId="0" applyNumberFormat="1" applyFont="1" applyFill="1"/>
    <xf numFmtId="0" fontId="4" fillId="0" borderId="0" xfId="0" applyFont="1" applyAlignment="1">
      <alignment horizontal="right"/>
    </xf>
    <xf numFmtId="1" fontId="4" fillId="0" borderId="0" xfId="0" applyNumberFormat="1" applyFont="1" applyAlignment="1">
      <alignment horizontal="center"/>
    </xf>
    <xf numFmtId="0" fontId="11" fillId="0" borderId="0" xfId="0" applyFont="1" applyBorder="1" applyAlignment="1">
      <alignment horizontal="right"/>
    </xf>
    <xf numFmtId="0" fontId="11" fillId="0" borderId="0" xfId="0" applyFont="1" applyBorder="1" applyAlignment="1">
      <alignment horizontal="center"/>
    </xf>
    <xf numFmtId="0" fontId="2" fillId="0" borderId="0" xfId="0" applyFont="1" applyAlignment="1">
      <alignment horizontal="left"/>
    </xf>
    <xf numFmtId="0" fontId="4" fillId="0" borderId="0" xfId="0" applyFont="1" applyBorder="1"/>
    <xf numFmtId="1" fontId="10" fillId="0" borderId="0" xfId="0" applyNumberFormat="1" applyFont="1" applyBorder="1" applyAlignment="1">
      <alignment horizontal="center"/>
    </xf>
    <xf numFmtId="1" fontId="2" fillId="0" borderId="0" xfId="0" applyNumberFormat="1" applyFont="1"/>
    <xf numFmtId="41" fontId="0" fillId="0" borderId="0" xfId="3" applyNumberFormat="1" applyFont="1" applyFill="1"/>
    <xf numFmtId="43" fontId="0" fillId="0" borderId="0" xfId="1" applyFont="1"/>
    <xf numFmtId="41" fontId="0" fillId="0" borderId="0" xfId="1" applyNumberFormat="1" applyFont="1" applyFill="1"/>
    <xf numFmtId="0" fontId="2" fillId="0" borderId="0" xfId="0" applyFont="1" applyFill="1"/>
    <xf numFmtId="43" fontId="0" fillId="0" borderId="0" xfId="1" applyFont="1" applyFill="1"/>
    <xf numFmtId="41" fontId="4" fillId="0" borderId="1" xfId="1" applyNumberFormat="1" applyFont="1" applyFill="1" applyBorder="1"/>
    <xf numFmtId="41" fontId="2" fillId="0" borderId="0" xfId="0" applyNumberFormat="1" applyFont="1"/>
    <xf numFmtId="41" fontId="0" fillId="0" borderId="0" xfId="0" applyNumberFormat="1"/>
    <xf numFmtId="0" fontId="2" fillId="0" borderId="0" xfId="0" quotePrefix="1" applyFont="1" applyFill="1"/>
    <xf numFmtId="41" fontId="0" fillId="0" borderId="1" xfId="1" applyNumberFormat="1" applyFont="1" applyFill="1" applyBorder="1"/>
    <xf numFmtId="41" fontId="4" fillId="0" borderId="0" xfId="1" applyNumberFormat="1" applyFont="1" applyFill="1"/>
    <xf numFmtId="0" fontId="2" fillId="0" borderId="0" xfId="0" quotePrefix="1" applyFont="1" applyBorder="1" applyAlignment="1">
      <alignment horizontal="left"/>
    </xf>
    <xf numFmtId="0" fontId="2" fillId="0" borderId="0" xfId="0" applyFont="1" applyBorder="1" applyAlignment="1">
      <alignment horizontal="left"/>
    </xf>
    <xf numFmtId="41" fontId="0" fillId="0" borderId="0" xfId="1" applyNumberFormat="1" applyFont="1"/>
    <xf numFmtId="41" fontId="0" fillId="0" borderId="1" xfId="0" applyNumberFormat="1" applyBorder="1"/>
    <xf numFmtId="41" fontId="2" fillId="0" borderId="1" xfId="3" applyNumberFormat="1" applyFont="1" applyFill="1" applyBorder="1"/>
    <xf numFmtId="1" fontId="0" fillId="0" borderId="0" xfId="0" applyNumberFormat="1"/>
    <xf numFmtId="0" fontId="4" fillId="0" borderId="0" xfId="5"/>
    <xf numFmtId="0" fontId="4" fillId="0" borderId="0" xfId="5" applyBorder="1"/>
    <xf numFmtId="2" fontId="4" fillId="0" borderId="0" xfId="5" applyNumberFormat="1" applyBorder="1"/>
    <xf numFmtId="41" fontId="4" fillId="0" borderId="0" xfId="5" applyNumberFormat="1"/>
    <xf numFmtId="0" fontId="4" fillId="0" borderId="0" xfId="5" applyAlignment="1">
      <alignment horizontal="center"/>
    </xf>
    <xf numFmtId="0" fontId="16" fillId="0" borderId="0" xfId="5" applyFont="1" applyAlignment="1">
      <alignment horizontal="center"/>
    </xf>
    <xf numFmtId="0" fontId="4" fillId="0" borderId="0" xfId="5" applyFont="1"/>
    <xf numFmtId="9" fontId="4" fillId="0" borderId="0" xfId="5" applyNumberFormat="1" applyAlignment="1">
      <alignment horizontal="center"/>
    </xf>
    <xf numFmtId="169" fontId="4" fillId="0" borderId="0" xfId="5" applyNumberFormat="1" applyAlignment="1">
      <alignment horizontal="center"/>
    </xf>
    <xf numFmtId="2" fontId="4" fillId="0" borderId="0" xfId="5" applyNumberFormat="1" applyAlignment="1">
      <alignment horizontal="center"/>
    </xf>
    <xf numFmtId="41" fontId="31" fillId="0" borderId="0" xfId="5" applyNumberFormat="1" applyFont="1"/>
    <xf numFmtId="0" fontId="4" fillId="0" borderId="0" xfId="5" applyFill="1"/>
    <xf numFmtId="170" fontId="4" fillId="0" borderId="0" xfId="5" applyNumberFormat="1" applyBorder="1"/>
    <xf numFmtId="0" fontId="2" fillId="0" borderId="0" xfId="5" applyFont="1" applyAlignment="1">
      <alignment horizontal="center"/>
    </xf>
    <xf numFmtId="0" fontId="2" fillId="0" borderId="0" xfId="5" applyFont="1" applyBorder="1" applyAlignment="1">
      <alignment horizontal="center"/>
    </xf>
    <xf numFmtId="0" fontId="2" fillId="0" borderId="1" xfId="5" applyFont="1" applyBorder="1" applyAlignment="1">
      <alignment horizontal="center"/>
    </xf>
    <xf numFmtId="0" fontId="2" fillId="0" borderId="0" xfId="5" applyFont="1"/>
    <xf numFmtId="165" fontId="0" fillId="0" borderId="0" xfId="2" applyNumberFormat="1" applyFont="1"/>
    <xf numFmtId="0" fontId="32" fillId="0" borderId="0" xfId="5" applyFont="1"/>
    <xf numFmtId="165" fontId="4" fillId="0" borderId="0" xfId="5" applyNumberFormat="1"/>
    <xf numFmtId="165" fontId="0" fillId="0" borderId="0" xfId="2" applyNumberFormat="1" applyFont="1" applyBorder="1"/>
    <xf numFmtId="0" fontId="2" fillId="0" borderId="0" xfId="5" applyFont="1" applyAlignment="1">
      <alignment horizontal="left"/>
    </xf>
    <xf numFmtId="165" fontId="2" fillId="0" borderId="1" xfId="2" applyNumberFormat="1" applyFont="1" applyBorder="1"/>
    <xf numFmtId="0" fontId="2" fillId="0" borderId="0" xfId="5" applyFont="1" applyAlignment="1">
      <alignment horizontal="right"/>
    </xf>
    <xf numFmtId="165" fontId="0" fillId="0" borderId="0" xfId="2" applyNumberFormat="1" applyFont="1" applyFill="1"/>
    <xf numFmtId="165" fontId="0" fillId="0" borderId="1" xfId="2" applyNumberFormat="1" applyFont="1" applyFill="1" applyBorder="1"/>
    <xf numFmtId="165" fontId="0" fillId="0" borderId="0" xfId="2" applyNumberFormat="1" applyFont="1" applyFill="1" applyBorder="1"/>
    <xf numFmtId="165" fontId="2" fillId="0" borderId="1" xfId="2" applyNumberFormat="1" applyFont="1" applyFill="1" applyBorder="1"/>
    <xf numFmtId="165" fontId="2" fillId="0" borderId="0" xfId="2" applyNumberFormat="1" applyFont="1" applyFill="1" applyBorder="1"/>
    <xf numFmtId="165" fontId="2" fillId="0" borderId="0" xfId="5" applyNumberFormat="1" applyFont="1"/>
    <xf numFmtId="0" fontId="4" fillId="0" borderId="0" xfId="5" applyFont="1" applyBorder="1"/>
    <xf numFmtId="0" fontId="2" fillId="0" borderId="0" xfId="5" applyFont="1" applyBorder="1"/>
    <xf numFmtId="164" fontId="2" fillId="0" borderId="0" xfId="4" applyNumberFormat="1" applyFont="1" applyFill="1" applyBorder="1"/>
    <xf numFmtId="164" fontId="2" fillId="0" borderId="0" xfId="5" applyNumberFormat="1" applyFont="1"/>
    <xf numFmtId="164" fontId="2" fillId="0" borderId="1" xfId="4" applyNumberFormat="1" applyFont="1" applyFill="1" applyBorder="1"/>
    <xf numFmtId="0" fontId="17" fillId="0" borderId="8" xfId="0" applyFont="1" applyBorder="1"/>
    <xf numFmtId="10" fontId="0" fillId="0" borderId="0" xfId="0" applyNumberFormat="1" applyBorder="1"/>
    <xf numFmtId="0" fontId="0" fillId="0" borderId="9" xfId="0" applyBorder="1"/>
    <xf numFmtId="0" fontId="0" fillId="0" borderId="8" xfId="0" applyBorder="1"/>
    <xf numFmtId="0" fontId="17" fillId="0" borderId="10" xfId="0" applyFont="1" applyBorder="1"/>
    <xf numFmtId="0" fontId="0" fillId="0" borderId="11" xfId="0" applyBorder="1"/>
    <xf numFmtId="0" fontId="0" fillId="0" borderId="12" xfId="0" applyBorder="1"/>
    <xf numFmtId="1" fontId="0" fillId="0" borderId="0" xfId="0" applyNumberFormat="1" applyBorder="1"/>
    <xf numFmtId="0" fontId="17" fillId="0" borderId="3" xfId="0" applyFont="1" applyBorder="1" applyAlignment="1">
      <alignment wrapText="1"/>
    </xf>
    <xf numFmtId="0" fontId="0" fillId="0" borderId="4" xfId="0" applyBorder="1"/>
    <xf numFmtId="0" fontId="0" fillId="0" borderId="13" xfId="0" applyBorder="1"/>
    <xf numFmtId="0" fontId="17" fillId="0" borderId="5" xfId="0" applyFont="1" applyBorder="1"/>
    <xf numFmtId="0" fontId="0" fillId="0" borderId="14" xfId="0" applyBorder="1"/>
    <xf numFmtId="0" fontId="0" fillId="3" borderId="0" xfId="0" applyFill="1" applyBorder="1"/>
    <xf numFmtId="0" fontId="17" fillId="0" borderId="6" xfId="0" applyFont="1" applyBorder="1"/>
    <xf numFmtId="0" fontId="0" fillId="0" borderId="7" xfId="0" applyBorder="1"/>
    <xf numFmtId="0" fontId="0" fillId="3" borderId="7" xfId="0" applyFill="1" applyBorder="1"/>
    <xf numFmtId="0" fontId="0" fillId="0" borderId="15" xfId="0" applyBorder="1"/>
    <xf numFmtId="0" fontId="17" fillId="0" borderId="5" xfId="0" applyFont="1" applyFill="1" applyBorder="1"/>
    <xf numFmtId="0" fontId="17" fillId="0" borderId="0" xfId="0" applyFont="1"/>
    <xf numFmtId="0" fontId="16" fillId="0" borderId="17" xfId="0" applyFont="1" applyBorder="1"/>
    <xf numFmtId="0" fontId="16" fillId="0" borderId="18" xfId="0" applyFont="1" applyBorder="1"/>
    <xf numFmtId="0" fontId="4" fillId="0" borderId="8" xfId="0" applyFont="1" applyBorder="1"/>
    <xf numFmtId="0" fontId="0" fillId="0" borderId="0" xfId="0" applyFill="1" applyBorder="1"/>
    <xf numFmtId="0" fontId="4" fillId="0" borderId="10" xfId="0" applyFont="1" applyBorder="1"/>
    <xf numFmtId="1" fontId="4" fillId="0" borderId="0" xfId="5" applyNumberFormat="1"/>
    <xf numFmtId="41" fontId="0" fillId="0" borderId="0" xfId="4" applyNumberFormat="1" applyFont="1"/>
    <xf numFmtId="41" fontId="0" fillId="0" borderId="0" xfId="2" applyNumberFormat="1" applyFont="1"/>
    <xf numFmtId="1" fontId="0" fillId="0" borderId="0" xfId="1" applyNumberFormat="1" applyFont="1" applyFill="1"/>
    <xf numFmtId="1" fontId="0" fillId="0" borderId="0" xfId="1" applyNumberFormat="1" applyFont="1" applyFill="1" applyBorder="1"/>
    <xf numFmtId="1" fontId="15" fillId="0" borderId="0" xfId="0" applyNumberFormat="1" applyFont="1"/>
    <xf numFmtId="0" fontId="17" fillId="0" borderId="0" xfId="0" applyFont="1" applyBorder="1"/>
    <xf numFmtId="49" fontId="33" fillId="0" borderId="0" xfId="0" applyNumberFormat="1" applyFont="1" applyFill="1"/>
    <xf numFmtId="1" fontId="0" fillId="0" borderId="0" xfId="0" applyNumberFormat="1" applyFont="1" applyFill="1"/>
    <xf numFmtId="1" fontId="0" fillId="0" borderId="0" xfId="0" applyNumberFormat="1" applyFill="1"/>
    <xf numFmtId="0" fontId="14" fillId="0" borderId="0" xfId="0" applyFont="1" applyFill="1"/>
    <xf numFmtId="3" fontId="0" fillId="0" borderId="0" xfId="0" applyNumberFormat="1" applyFill="1" applyBorder="1"/>
    <xf numFmtId="168" fontId="0" fillId="0" borderId="0" xfId="0" applyNumberFormat="1" applyFont="1" applyFill="1"/>
    <xf numFmtId="0" fontId="0" fillId="0" borderId="0" xfId="0" applyFont="1" applyFill="1"/>
    <xf numFmtId="1" fontId="4" fillId="0" borderId="0" xfId="0" applyNumberFormat="1" applyFont="1" applyFill="1"/>
    <xf numFmtId="10" fontId="0" fillId="0" borderId="0" xfId="0" applyNumberFormat="1" applyFill="1"/>
    <xf numFmtId="0" fontId="15" fillId="0" borderId="0" xfId="0" applyFont="1" applyFill="1"/>
    <xf numFmtId="41" fontId="0" fillId="0" borderId="0" xfId="0" applyNumberFormat="1" applyFont="1" applyFill="1"/>
    <xf numFmtId="0" fontId="4" fillId="0" borderId="1" xfId="0" applyFont="1" applyFill="1" applyBorder="1"/>
    <xf numFmtId="41" fontId="11" fillId="0" borderId="0" xfId="3" applyNumberFormat="1" applyFont="1" applyBorder="1"/>
    <xf numFmtId="41" fontId="11" fillId="0" borderId="0" xfId="1" applyNumberFormat="1" applyFont="1" applyFill="1" applyBorder="1"/>
    <xf numFmtId="41" fontId="7" fillId="0" borderId="0" xfId="0" applyNumberFormat="1" applyFont="1" applyFill="1"/>
    <xf numFmtId="41" fontId="9" fillId="0" borderId="0" xfId="3" applyNumberFormat="1" applyFont="1" applyFill="1" applyBorder="1"/>
    <xf numFmtId="10" fontId="4" fillId="0" borderId="0" xfId="5" applyNumberFormat="1"/>
    <xf numFmtId="164" fontId="4" fillId="0" borderId="0" xfId="5" applyNumberFormat="1"/>
    <xf numFmtId="165" fontId="19" fillId="0" borderId="0" xfId="1" applyNumberFormat="1" applyFont="1" applyFill="1"/>
    <xf numFmtId="41" fontId="19" fillId="0" borderId="0" xfId="1" applyNumberFormat="1" applyFont="1" applyFill="1"/>
    <xf numFmtId="0" fontId="0" fillId="4" borderId="0" xfId="0" applyFill="1" applyBorder="1"/>
    <xf numFmtId="0" fontId="34" fillId="0" borderId="0" xfId="0" applyFont="1" applyAlignment="1">
      <alignment horizontal="center" vertical="center"/>
    </xf>
    <xf numFmtId="0" fontId="35" fillId="4" borderId="0" xfId="0" applyFont="1" applyFill="1" applyAlignment="1">
      <alignment horizontal="left" vertical="center"/>
    </xf>
    <xf numFmtId="0" fontId="36" fillId="4" borderId="0" xfId="0" applyFont="1" applyFill="1" applyAlignment="1">
      <alignment horizontal="left" vertical="center"/>
    </xf>
    <xf numFmtId="0" fontId="34" fillId="4" borderId="0" xfId="0" applyFont="1" applyFill="1" applyAlignment="1">
      <alignment horizontal="left" vertical="center"/>
    </xf>
    <xf numFmtId="0" fontId="37" fillId="4" borderId="0" xfId="0" applyFont="1" applyFill="1" applyAlignment="1">
      <alignment horizontal="left" vertical="center" wrapText="1"/>
    </xf>
    <xf numFmtId="0" fontId="38" fillId="4" borderId="0" xfId="0" applyFont="1" applyFill="1" applyAlignment="1">
      <alignment horizontal="left" vertical="center" wrapText="1"/>
    </xf>
    <xf numFmtId="0" fontId="37" fillId="4" borderId="0" xfId="0" applyFont="1" applyFill="1" applyAlignment="1">
      <alignment horizontal="left" vertical="center"/>
    </xf>
    <xf numFmtId="41" fontId="0" fillId="0" borderId="0" xfId="3" applyNumberFormat="1" applyFont="1"/>
    <xf numFmtId="41" fontId="2" fillId="0" borderId="19" xfId="0" applyNumberFormat="1" applyFont="1" applyBorder="1"/>
    <xf numFmtId="0" fontId="36" fillId="0" borderId="0" xfId="0" applyFont="1" applyFill="1" applyAlignment="1">
      <alignment horizontal="left" vertical="center"/>
    </xf>
    <xf numFmtId="0" fontId="36" fillId="4" borderId="0" xfId="0" applyFont="1" applyFill="1" applyBorder="1" applyAlignment="1">
      <alignment horizontal="left" vertical="center"/>
    </xf>
    <xf numFmtId="41" fontId="10" fillId="0" borderId="0" xfId="0" applyNumberFormat="1" applyFont="1" applyBorder="1" applyAlignment="1">
      <alignment horizontal="center"/>
    </xf>
    <xf numFmtId="1" fontId="4" fillId="0" borderId="0" xfId="1" applyNumberFormat="1" applyFont="1" applyFill="1"/>
    <xf numFmtId="1" fontId="4" fillId="0" borderId="0" xfId="1" applyNumberFormat="1" applyFont="1" applyFill="1" applyBorder="1"/>
    <xf numFmtId="41" fontId="2" fillId="0" borderId="0" xfId="0" applyNumberFormat="1" applyFont="1" applyBorder="1"/>
    <xf numFmtId="41" fontId="18" fillId="0" borderId="0" xfId="1" applyNumberFormat="1" applyFont="1" applyFill="1"/>
    <xf numFmtId="41" fontId="18" fillId="0" borderId="0" xfId="1" applyNumberFormat="1" applyFont="1" applyFill="1" applyBorder="1"/>
    <xf numFmtId="41" fontId="0" fillId="0" borderId="0" xfId="0" applyNumberFormat="1" applyFont="1" applyFill="1" applyBorder="1"/>
    <xf numFmtId="41" fontId="4" fillId="0" borderId="0" xfId="0" applyNumberFormat="1" applyFont="1" applyFill="1"/>
    <xf numFmtId="41" fontId="19" fillId="0" borderId="0" xfId="1" applyNumberFormat="1" applyFont="1" applyFill="1" applyBorder="1"/>
    <xf numFmtId="43" fontId="0" fillId="0" borderId="0" xfId="1" applyNumberFormat="1" applyFont="1" applyFill="1"/>
    <xf numFmtId="41" fontId="18" fillId="0" borderId="1" xfId="1" applyNumberFormat="1" applyFont="1" applyFill="1" applyBorder="1"/>
    <xf numFmtId="41" fontId="8" fillId="0" borderId="0" xfId="0" applyNumberFormat="1" applyFont="1" applyFill="1"/>
    <xf numFmtId="41" fontId="8" fillId="0" borderId="0" xfId="0" applyNumberFormat="1" applyFont="1"/>
    <xf numFmtId="1" fontId="2" fillId="0" borderId="0" xfId="5" applyNumberFormat="1" applyFont="1" applyBorder="1" applyAlignment="1">
      <alignment horizontal="center"/>
    </xf>
    <xf numFmtId="2" fontId="2" fillId="0" borderId="0" xfId="5" applyNumberFormat="1" applyFont="1" applyAlignment="1">
      <alignment horizontal="center"/>
    </xf>
    <xf numFmtId="0" fontId="4" fillId="0" borderId="0" xfId="5" applyFill="1" applyAlignment="1">
      <alignment horizontal="center"/>
    </xf>
    <xf numFmtId="0" fontId="16" fillId="0" borderId="0" xfId="5" applyFont="1" applyFill="1" applyAlignment="1">
      <alignment horizontal="center"/>
    </xf>
    <xf numFmtId="9" fontId="4" fillId="0" borderId="0" xfId="5" applyNumberFormat="1" applyFill="1" applyAlignment="1">
      <alignment horizontal="center"/>
    </xf>
    <xf numFmtId="2" fontId="4" fillId="0" borderId="0" xfId="5" applyNumberFormat="1" applyFill="1" applyAlignment="1">
      <alignment horizontal="center"/>
    </xf>
    <xf numFmtId="43" fontId="4" fillId="0" borderId="0" xfId="5" applyNumberFormat="1" applyFill="1" applyAlignment="1">
      <alignment horizontal="center"/>
    </xf>
    <xf numFmtId="169" fontId="4" fillId="0" borderId="0" xfId="5" applyNumberFormat="1" applyFill="1" applyAlignment="1">
      <alignment horizontal="center"/>
    </xf>
    <xf numFmtId="2" fontId="2" fillId="0" borderId="0" xfId="5" applyNumberFormat="1" applyFont="1" applyFill="1" applyAlignment="1">
      <alignment horizontal="center"/>
    </xf>
    <xf numFmtId="0" fontId="4" fillId="0" borderId="0" xfId="5" applyFont="1" applyFill="1" applyBorder="1" applyAlignment="1">
      <alignment horizontal="center" vertical="center"/>
    </xf>
    <xf numFmtId="41" fontId="4" fillId="0" borderId="0" xfId="5" applyNumberFormat="1" applyFill="1" applyBorder="1"/>
    <xf numFmtId="0" fontId="0" fillId="0" borderId="20" xfId="0" applyBorder="1"/>
    <xf numFmtId="0" fontId="4" fillId="0" borderId="23" xfId="0" applyFont="1" applyBorder="1"/>
    <xf numFmtId="41" fontId="0" fillId="0" borderId="24" xfId="0" applyNumberFormat="1" applyBorder="1"/>
    <xf numFmtId="41" fontId="0" fillId="0" borderId="25" xfId="0" applyNumberFormat="1" applyBorder="1"/>
    <xf numFmtId="0" fontId="0" fillId="0" borderId="23" xfId="0" applyBorder="1"/>
    <xf numFmtId="0" fontId="4" fillId="0" borderId="26" xfId="0" applyFont="1" applyBorder="1"/>
    <xf numFmtId="165" fontId="2" fillId="0" borderId="0" xfId="2" applyNumberFormat="1" applyFont="1" applyFill="1"/>
    <xf numFmtId="0" fontId="12" fillId="0" borderId="27" xfId="0" applyFont="1" applyBorder="1"/>
    <xf numFmtId="0" fontId="12" fillId="0" borderId="28" xfId="0" applyFont="1" applyBorder="1" applyAlignment="1">
      <alignment horizontal="center" vertical="center" wrapText="1"/>
    </xf>
    <xf numFmtId="14" fontId="24" fillId="0" borderId="28" xfId="0" applyNumberFormat="1" applyFont="1" applyBorder="1"/>
    <xf numFmtId="14" fontId="24" fillId="0" borderId="29" xfId="0" applyNumberFormat="1" applyFont="1" applyBorder="1"/>
    <xf numFmtId="0" fontId="12" fillId="0" borderId="28" xfId="0" applyFont="1" applyBorder="1"/>
    <xf numFmtId="14" fontId="25" fillId="0" borderId="28" xfId="0" applyNumberFormat="1" applyFont="1" applyBorder="1"/>
    <xf numFmtId="14" fontId="25" fillId="0" borderId="29" xfId="0" applyNumberFormat="1" applyFont="1" applyBorder="1"/>
    <xf numFmtId="0" fontId="25" fillId="0" borderId="27" xfId="0" applyFont="1" applyBorder="1"/>
    <xf numFmtId="0" fontId="25" fillId="0" borderId="28" xfId="0" applyFont="1" applyBorder="1"/>
    <xf numFmtId="168" fontId="25" fillId="0" borderId="28" xfId="0" applyNumberFormat="1" applyFont="1" applyFill="1" applyBorder="1"/>
    <xf numFmtId="168" fontId="25" fillId="0" borderId="28" xfId="0" applyNumberFormat="1" applyFont="1" applyBorder="1"/>
    <xf numFmtId="168" fontId="25" fillId="0" borderId="29" xfId="0" applyNumberFormat="1" applyFont="1" applyBorder="1"/>
    <xf numFmtId="0" fontId="12" fillId="5" borderId="27" xfId="0" applyFont="1" applyFill="1" applyBorder="1"/>
    <xf numFmtId="0" fontId="12" fillId="5" borderId="28" xfId="0" applyFont="1" applyFill="1" applyBorder="1"/>
    <xf numFmtId="14" fontId="25" fillId="5" borderId="28" xfId="0" applyNumberFormat="1" applyFont="1" applyFill="1" applyBorder="1"/>
    <xf numFmtId="14" fontId="25" fillId="5" borderId="29" xfId="0" applyNumberFormat="1" applyFont="1" applyFill="1" applyBorder="1"/>
    <xf numFmtId="0" fontId="12" fillId="0" borderId="29" xfId="0" applyFont="1" applyBorder="1"/>
    <xf numFmtId="41" fontId="12" fillId="0" borderId="28" xfId="0" applyNumberFormat="1" applyFont="1" applyBorder="1"/>
    <xf numFmtId="41" fontId="12" fillId="0" borderId="29" xfId="0" applyNumberFormat="1" applyFont="1" applyBorder="1"/>
    <xf numFmtId="41" fontId="12" fillId="5" borderId="28" xfId="0" applyNumberFormat="1" applyFont="1" applyFill="1" applyBorder="1"/>
    <xf numFmtId="41" fontId="12" fillId="5" borderId="29" xfId="0" applyNumberFormat="1" applyFont="1" applyFill="1" applyBorder="1"/>
    <xf numFmtId="0" fontId="12" fillId="0" borderId="27" xfId="0" applyFont="1" applyFill="1" applyBorder="1"/>
    <xf numFmtId="41" fontId="12" fillId="0" borderId="28" xfId="0" applyNumberFormat="1" applyFont="1" applyFill="1" applyBorder="1"/>
    <xf numFmtId="41" fontId="12" fillId="0" borderId="29" xfId="0" applyNumberFormat="1" applyFont="1" applyFill="1" applyBorder="1"/>
    <xf numFmtId="0" fontId="12" fillId="5" borderId="29" xfId="0" applyFont="1" applyFill="1" applyBorder="1"/>
    <xf numFmtId="168" fontId="12" fillId="0" borderId="28" xfId="0" applyNumberFormat="1" applyFont="1" applyBorder="1"/>
    <xf numFmtId="168" fontId="12" fillId="0" borderId="29" xfId="0" applyNumberFormat="1" applyFont="1" applyBorder="1"/>
    <xf numFmtId="0" fontId="25" fillId="0" borderId="30" xfId="0" applyFont="1" applyBorder="1"/>
    <xf numFmtId="42" fontId="25" fillId="0" borderId="31" xfId="0" applyNumberFormat="1" applyFont="1" applyBorder="1"/>
    <xf numFmtId="168" fontId="25" fillId="0" borderId="31" xfId="0" applyNumberFormat="1" applyFont="1" applyBorder="1"/>
    <xf numFmtId="168" fontId="25" fillId="0" borderId="32" xfId="0" applyNumberFormat="1" applyFont="1" applyBorder="1"/>
    <xf numFmtId="0" fontId="0" fillId="0" borderId="28" xfId="0" applyBorder="1" applyAlignment="1">
      <alignment horizontal="center"/>
    </xf>
    <xf numFmtId="0" fontId="7" fillId="0" borderId="28" xfId="0" applyFont="1" applyBorder="1" applyAlignment="1">
      <alignment horizontal="center"/>
    </xf>
    <xf numFmtId="0" fontId="4" fillId="0" borderId="28" xfId="0" applyFont="1" applyBorder="1" applyAlignment="1">
      <alignment horizontal="center"/>
    </xf>
    <xf numFmtId="1" fontId="4" fillId="0" borderId="28" xfId="0" applyNumberFormat="1" applyFont="1" applyBorder="1" applyAlignment="1">
      <alignment horizontal="center"/>
    </xf>
    <xf numFmtId="0" fontId="4" fillId="0" borderId="28" xfId="0" applyFont="1" applyFill="1" applyBorder="1" applyAlignment="1">
      <alignment horizontal="center"/>
    </xf>
    <xf numFmtId="0" fontId="40" fillId="0" borderId="28" xfId="0" applyFont="1" applyBorder="1" applyAlignment="1">
      <alignment horizontal="center"/>
    </xf>
    <xf numFmtId="0" fontId="41" fillId="0" borderId="0" xfId="0" applyFont="1" applyAlignment="1"/>
    <xf numFmtId="0" fontId="0" fillId="4" borderId="0" xfId="0" applyFill="1" applyBorder="1" applyAlignment="1">
      <alignment wrapText="1"/>
    </xf>
    <xf numFmtId="0" fontId="42" fillId="4" borderId="0" xfId="0" applyFont="1" applyFill="1" applyAlignment="1">
      <alignment horizontal="left" vertical="center" wrapText="1"/>
    </xf>
    <xf numFmtId="0" fontId="43" fillId="4" borderId="0" xfId="0" applyFont="1" applyFill="1" applyAlignment="1">
      <alignment horizontal="left" vertical="center" wrapText="1"/>
    </xf>
    <xf numFmtId="0" fontId="4" fillId="0" borderId="0" xfId="5" applyAlignment="1">
      <alignment wrapText="1"/>
    </xf>
    <xf numFmtId="41" fontId="4" fillId="0" borderId="0" xfId="5" applyNumberFormat="1" applyBorder="1"/>
    <xf numFmtId="170" fontId="0" fillId="0" borderId="0" xfId="0" applyNumberFormat="1"/>
    <xf numFmtId="41" fontId="0" fillId="0" borderId="33" xfId="0" applyNumberFormat="1" applyBorder="1"/>
    <xf numFmtId="41" fontId="7" fillId="0" borderId="0" xfId="0" applyNumberFormat="1" applyFont="1"/>
    <xf numFmtId="165" fontId="4" fillId="0" borderId="0" xfId="5" applyNumberFormat="1" applyBorder="1"/>
    <xf numFmtId="3" fontId="7" fillId="0" borderId="0" xfId="0" applyNumberFormat="1" applyFont="1"/>
    <xf numFmtId="169" fontId="4" fillId="0" borderId="0" xfId="5" applyNumberFormat="1" applyFill="1" applyBorder="1"/>
    <xf numFmtId="0" fontId="4" fillId="0" borderId="0" xfId="5" applyFill="1" applyBorder="1"/>
    <xf numFmtId="164" fontId="4" fillId="0" borderId="0" xfId="3" applyNumberFormat="1" applyFont="1" applyFill="1" applyBorder="1"/>
    <xf numFmtId="0" fontId="0" fillId="0" borderId="34" xfId="0" applyBorder="1"/>
    <xf numFmtId="0" fontId="22" fillId="0" borderId="35" xfId="0" applyFont="1" applyBorder="1" applyAlignment="1">
      <alignment horizontal="center"/>
    </xf>
    <xf numFmtId="0" fontId="22" fillId="0" borderId="36" xfId="0" applyFont="1" applyBorder="1" applyAlignment="1">
      <alignment horizontal="center"/>
    </xf>
    <xf numFmtId="3" fontId="4" fillId="0" borderId="35" xfId="0" applyNumberFormat="1" applyFont="1" applyBorder="1" applyAlignment="1">
      <alignment horizontal="center"/>
    </xf>
    <xf numFmtId="0" fontId="0" fillId="0" borderId="28" xfId="0" applyFill="1" applyBorder="1" applyAlignment="1">
      <alignment horizontal="center"/>
    </xf>
    <xf numFmtId="0" fontId="0" fillId="0" borderId="0" xfId="0" applyFill="1" applyAlignment="1">
      <alignment horizontal="center"/>
    </xf>
    <xf numFmtId="0" fontId="44" fillId="6" borderId="0" xfId="0" applyFont="1" applyFill="1" applyAlignment="1">
      <alignment horizontal="center"/>
    </xf>
    <xf numFmtId="0" fontId="3" fillId="7" borderId="0" xfId="0" applyFont="1" applyFill="1"/>
    <xf numFmtId="0" fontId="7" fillId="7" borderId="0" xfId="0" applyFont="1" applyFill="1"/>
    <xf numFmtId="165" fontId="7" fillId="7" borderId="0" xfId="1" applyNumberFormat="1" applyFont="1" applyFill="1" applyBorder="1"/>
    <xf numFmtId="0" fontId="30" fillId="0" borderId="0" xfId="0" applyFont="1"/>
    <xf numFmtId="41" fontId="4" fillId="0" borderId="0" xfId="0" applyNumberFormat="1" applyFont="1"/>
    <xf numFmtId="10" fontId="4" fillId="0" borderId="0" xfId="5" applyNumberFormat="1" applyAlignment="1">
      <alignment horizontal="center"/>
    </xf>
    <xf numFmtId="3" fontId="17" fillId="0" borderId="11" xfId="0" applyNumberFormat="1" applyFont="1" applyBorder="1"/>
    <xf numFmtId="0" fontId="10" fillId="0" borderId="0" xfId="0" applyFont="1" applyFill="1" applyAlignment="1">
      <alignment horizontal="center"/>
    </xf>
    <xf numFmtId="0" fontId="4" fillId="0" borderId="1" xfId="0" applyFont="1" applyFill="1" applyBorder="1" applyAlignment="1">
      <alignment horizontal="center" vertical="center"/>
    </xf>
    <xf numFmtId="0" fontId="4" fillId="0" borderId="0" xfId="0" applyFont="1" applyFill="1" applyBorder="1" applyAlignment="1">
      <alignment horizontal="center" vertical="center"/>
    </xf>
    <xf numFmtId="0" fontId="10" fillId="0" borderId="0" xfId="0" applyFont="1" applyBorder="1"/>
    <xf numFmtId="41" fontId="10" fillId="0" borderId="0" xfId="1" applyNumberFormat="1" applyFont="1" applyFill="1" applyBorder="1"/>
    <xf numFmtId="165" fontId="2" fillId="0" borderId="1" xfId="5" applyNumberFormat="1" applyFont="1" applyFill="1" applyBorder="1"/>
    <xf numFmtId="0" fontId="1" fillId="0" borderId="0" xfId="5" applyFont="1"/>
    <xf numFmtId="0" fontId="1" fillId="0" borderId="34" xfId="0" applyFont="1" applyBorder="1"/>
    <xf numFmtId="0" fontId="1" fillId="0" borderId="23" xfId="0" applyFont="1" applyBorder="1"/>
    <xf numFmtId="0" fontId="4" fillId="0" borderId="0" xfId="5" applyAlignment="1">
      <alignment horizontal="center"/>
    </xf>
    <xf numFmtId="1" fontId="4" fillId="0" borderId="0" xfId="5" applyNumberFormat="1" applyBorder="1" applyAlignment="1">
      <alignment horizontal="center"/>
    </xf>
    <xf numFmtId="0" fontId="4" fillId="0" borderId="0" xfId="5" applyFont="1" applyAlignment="1">
      <alignment horizontal="center"/>
    </xf>
    <xf numFmtId="1" fontId="4" fillId="0" borderId="0" xfId="5" applyNumberFormat="1" applyAlignment="1">
      <alignment horizontal="center"/>
    </xf>
    <xf numFmtId="41" fontId="4" fillId="0" borderId="0" xfId="5" applyNumberFormat="1" applyFont="1" applyAlignment="1">
      <alignment horizontal="center"/>
    </xf>
    <xf numFmtId="41" fontId="4" fillId="0" borderId="0" xfId="5" applyNumberFormat="1" applyAlignment="1">
      <alignment horizontal="center"/>
    </xf>
    <xf numFmtId="0" fontId="11" fillId="0" borderId="0" xfId="0" applyFont="1" applyBorder="1"/>
    <xf numFmtId="0" fontId="4" fillId="0" borderId="0" xfId="0" applyFont="1" applyBorder="1" applyAlignment="1">
      <alignment horizontal="center"/>
    </xf>
    <xf numFmtId="0" fontId="12" fillId="0" borderId="0" xfId="0" applyFont="1" applyBorder="1"/>
    <xf numFmtId="1" fontId="12" fillId="0" borderId="0" xfId="0" applyNumberFormat="1" applyFont="1" applyBorder="1" applyAlignment="1">
      <alignment horizontal="center"/>
    </xf>
    <xf numFmtId="0" fontId="10" fillId="0" borderId="0" xfId="0" applyFont="1" applyBorder="1" applyAlignment="1">
      <alignment shrinkToFit="1"/>
    </xf>
    <xf numFmtId="0" fontId="12" fillId="0" borderId="0" xfId="0" applyFont="1" applyBorder="1" applyAlignment="1">
      <alignment horizontal="center"/>
    </xf>
    <xf numFmtId="41" fontId="11" fillId="0" borderId="0" xfId="0" applyNumberFormat="1" applyFont="1" applyBorder="1"/>
    <xf numFmtId="41" fontId="11" fillId="0" borderId="0" xfId="1" applyNumberFormat="1" applyFont="1" applyFill="1" applyBorder="1" applyAlignment="1">
      <alignment horizontal="center"/>
    </xf>
    <xf numFmtId="9" fontId="11" fillId="0" borderId="0" xfId="0" applyNumberFormat="1" applyFont="1" applyBorder="1"/>
    <xf numFmtId="0" fontId="11" fillId="8" borderId="0" xfId="0" applyFont="1" applyFill="1" applyBorder="1"/>
    <xf numFmtId="167" fontId="11" fillId="0" borderId="0" xfId="0" applyNumberFormat="1" applyFont="1" applyBorder="1"/>
    <xf numFmtId="170" fontId="11" fillId="0" borderId="0" xfId="0" applyNumberFormat="1" applyFont="1" applyBorder="1"/>
    <xf numFmtId="167" fontId="11" fillId="0" borderId="0" xfId="0" applyNumberFormat="1" applyFont="1" applyBorder="1" applyAlignment="1">
      <alignment horizontal="center"/>
    </xf>
    <xf numFmtId="43" fontId="11" fillId="0" borderId="0" xfId="0" applyNumberFormat="1" applyFont="1" applyBorder="1"/>
    <xf numFmtId="0" fontId="11" fillId="0" borderId="0" xfId="0" applyFont="1" applyFill="1" applyBorder="1"/>
    <xf numFmtId="41" fontId="11" fillId="0" borderId="0" xfId="0" applyNumberFormat="1" applyFont="1" applyFill="1" applyBorder="1"/>
    <xf numFmtId="165" fontId="11" fillId="0" borderId="0" xfId="1" applyNumberFormat="1" applyFont="1" applyFill="1" applyBorder="1"/>
    <xf numFmtId="168" fontId="11" fillId="0" borderId="0" xfId="0" applyNumberFormat="1" applyFont="1" applyBorder="1"/>
    <xf numFmtId="41" fontId="10" fillId="0" borderId="0" xfId="0" applyNumberFormat="1" applyFont="1" applyBorder="1" applyAlignment="1">
      <alignment horizontal="left"/>
    </xf>
    <xf numFmtId="0" fontId="13" fillId="0" borderId="0" xfId="0" applyFont="1" applyBorder="1"/>
    <xf numFmtId="1" fontId="4" fillId="0" borderId="0" xfId="0" applyNumberFormat="1" applyFont="1" applyBorder="1" applyAlignment="1">
      <alignment horizontal="center"/>
    </xf>
    <xf numFmtId="41" fontId="4" fillId="0" borderId="0" xfId="0" applyNumberFormat="1" applyFont="1" applyBorder="1" applyAlignment="1">
      <alignment horizontal="center"/>
    </xf>
    <xf numFmtId="41" fontId="2" fillId="0" borderId="0" xfId="0" applyNumberFormat="1" applyFont="1" applyBorder="1" applyAlignment="1">
      <alignment horizontal="center"/>
    </xf>
    <xf numFmtId="41" fontId="4" fillId="0" borderId="0" xfId="0" applyNumberFormat="1" applyFont="1" applyBorder="1"/>
    <xf numFmtId="41" fontId="4" fillId="0" borderId="0" xfId="0" applyNumberFormat="1" applyFont="1" applyBorder="1" applyAlignment="1"/>
    <xf numFmtId="1" fontId="2" fillId="0" borderId="0" xfId="0" applyNumberFormat="1" applyFont="1" applyBorder="1" applyAlignment="1">
      <alignment horizontal="center"/>
    </xf>
    <xf numFmtId="37" fontId="4" fillId="0" borderId="0" xfId="0" applyNumberFormat="1" applyFont="1" applyBorder="1" applyAlignment="1">
      <alignment horizontal="center"/>
    </xf>
    <xf numFmtId="0" fontId="4" fillId="0" borderId="0" xfId="0" applyNumberFormat="1" applyFont="1" applyBorder="1" applyAlignment="1">
      <alignment horizontal="center"/>
    </xf>
    <xf numFmtId="166" fontId="4" fillId="0" borderId="0" xfId="0" applyNumberFormat="1" applyFont="1" applyBorder="1" applyAlignment="1">
      <alignment horizontal="center"/>
    </xf>
    <xf numFmtId="166" fontId="2" fillId="0" borderId="0" xfId="0" applyNumberFormat="1" applyFont="1" applyBorder="1" applyAlignment="1">
      <alignment horizontal="center"/>
    </xf>
    <xf numFmtId="41" fontId="4" fillId="0" borderId="0" xfId="0" applyNumberFormat="1" applyFont="1" applyFill="1" applyBorder="1" applyAlignment="1">
      <alignment horizontal="center"/>
    </xf>
    <xf numFmtId="41" fontId="4" fillId="0" borderId="0" xfId="0" applyNumberFormat="1" applyFont="1" applyFill="1" applyBorder="1"/>
    <xf numFmtId="0" fontId="11" fillId="0" borderId="0" xfId="0" applyFont="1" applyBorder="1" applyAlignment="1">
      <alignment horizontal="center"/>
    </xf>
    <xf numFmtId="0" fontId="10" fillId="0" borderId="0" xfId="0" applyFont="1" applyBorder="1" applyAlignment="1">
      <alignment horizontal="center"/>
    </xf>
    <xf numFmtId="0" fontId="7" fillId="0" borderId="0" xfId="0" applyFont="1" applyAlignment="1">
      <alignment horizontal="center"/>
    </xf>
    <xf numFmtId="0" fontId="10" fillId="0" borderId="0" xfId="0" applyFont="1" applyBorder="1" applyAlignment="1">
      <alignment horizontal="center" vertical="center" shrinkToFit="1"/>
    </xf>
    <xf numFmtId="0" fontId="2" fillId="0" borderId="0" xfId="5" applyFont="1" applyBorder="1" applyAlignment="1">
      <alignment horizontal="right"/>
    </xf>
    <xf numFmtId="165" fontId="7" fillId="0" borderId="0" xfId="1" applyNumberFormat="1" applyFont="1" applyBorder="1" applyAlignment="1">
      <alignment horizontal="center"/>
    </xf>
    <xf numFmtId="0" fontId="3" fillId="7" borderId="0" xfId="0" applyFont="1" applyFill="1" applyAlignment="1">
      <alignment horizontal="right"/>
    </xf>
    <xf numFmtId="0" fontId="0" fillId="0" borderId="43" xfId="0" applyFill="1" applyBorder="1" applyAlignment="1">
      <alignment horizontal="center"/>
    </xf>
    <xf numFmtId="0" fontId="0" fillId="0" borderId="44" xfId="0" applyFill="1" applyBorder="1" applyAlignment="1">
      <alignment horizontal="center"/>
    </xf>
    <xf numFmtId="0" fontId="39" fillId="0" borderId="43" xfId="0" applyFont="1" applyBorder="1" applyAlignment="1">
      <alignment horizontal="center"/>
    </xf>
    <xf numFmtId="0" fontId="40" fillId="0" borderId="44" xfId="0" applyFont="1" applyBorder="1" applyAlignment="1">
      <alignment horizontal="center"/>
    </xf>
    <xf numFmtId="0" fontId="2" fillId="0" borderId="43" xfId="0" applyFont="1" applyBorder="1" applyAlignment="1">
      <alignment horizontal="center"/>
    </xf>
    <xf numFmtId="0" fontId="0" fillId="0" borderId="44" xfId="0" applyBorder="1" applyAlignment="1">
      <alignment horizontal="center"/>
    </xf>
    <xf numFmtId="0" fontId="3" fillId="0" borderId="43" xfId="0" applyFont="1" applyBorder="1" applyAlignment="1">
      <alignment horizontal="center"/>
    </xf>
    <xf numFmtId="0" fontId="4" fillId="0" borderId="44" xfId="0" applyFont="1" applyBorder="1" applyAlignment="1">
      <alignment horizontal="center"/>
    </xf>
    <xf numFmtId="0" fontId="3" fillId="0" borderId="45" xfId="0" applyFont="1" applyBorder="1" applyAlignment="1">
      <alignment horizontal="center"/>
    </xf>
    <xf numFmtId="0" fontId="7" fillId="0" borderId="46" xfId="0" applyFont="1" applyBorder="1" applyAlignment="1">
      <alignment horizontal="center"/>
    </xf>
    <xf numFmtId="1" fontId="7" fillId="0" borderId="46" xfId="0" applyNumberFormat="1" applyFont="1" applyBorder="1" applyAlignment="1">
      <alignment horizontal="center"/>
    </xf>
    <xf numFmtId="1" fontId="7" fillId="0" borderId="47" xfId="0" applyNumberFormat="1" applyFont="1" applyBorder="1" applyAlignment="1">
      <alignment horizontal="center"/>
    </xf>
    <xf numFmtId="0" fontId="4" fillId="0" borderId="0" xfId="5" applyBorder="1" applyAlignment="1">
      <alignment horizontal="center" vertical="center"/>
    </xf>
    <xf numFmtId="0" fontId="4" fillId="0" borderId="17" xfId="5" applyBorder="1" applyAlignment="1">
      <alignment horizontal="center" vertical="center"/>
    </xf>
    <xf numFmtId="0" fontId="1" fillId="0" borderId="18" xfId="5" applyFont="1" applyBorder="1" applyAlignment="1">
      <alignment horizontal="center" vertical="center" wrapText="1"/>
    </xf>
    <xf numFmtId="0" fontId="4" fillId="0" borderId="18" xfId="5" applyFont="1" applyFill="1" applyBorder="1" applyAlignment="1">
      <alignment horizontal="center" vertical="center" wrapText="1"/>
    </xf>
    <xf numFmtId="0" fontId="4" fillId="0" borderId="18" xfId="5" applyBorder="1" applyAlignment="1">
      <alignment horizontal="center" vertical="center"/>
    </xf>
    <xf numFmtId="0" fontId="4" fillId="0" borderId="18" xfId="5" applyBorder="1" applyAlignment="1">
      <alignment horizontal="center" vertical="center" wrapText="1"/>
    </xf>
    <xf numFmtId="0" fontId="4" fillId="0" borderId="18" xfId="5" applyFill="1" applyBorder="1" applyAlignment="1">
      <alignment horizontal="center" vertical="center" wrapText="1"/>
    </xf>
    <xf numFmtId="0" fontId="1" fillId="0" borderId="8" xfId="5" applyFont="1" applyBorder="1"/>
    <xf numFmtId="0" fontId="1" fillId="0" borderId="10" xfId="5" applyFont="1" applyBorder="1"/>
    <xf numFmtId="1" fontId="4" fillId="0" borderId="11" xfId="5" applyNumberFormat="1" applyBorder="1" applyAlignment="1">
      <alignment horizontal="center"/>
    </xf>
    <xf numFmtId="169" fontId="4" fillId="0" borderId="11" xfId="5" applyNumberFormat="1" applyFill="1" applyBorder="1"/>
    <xf numFmtId="170" fontId="4" fillId="0" borderId="11" xfId="5" applyNumberFormat="1" applyBorder="1"/>
    <xf numFmtId="2" fontId="4" fillId="0" borderId="11" xfId="5" applyNumberFormat="1" applyBorder="1"/>
    <xf numFmtId="165" fontId="4" fillId="0" borderId="11" xfId="1" applyNumberFormat="1" applyFont="1" applyBorder="1"/>
    <xf numFmtId="0" fontId="4" fillId="0" borderId="11" xfId="5" applyFill="1" applyBorder="1"/>
    <xf numFmtId="0" fontId="4" fillId="0" borderId="48" xfId="5" applyBorder="1" applyAlignment="1">
      <alignment horizontal="center" vertical="center"/>
    </xf>
    <xf numFmtId="41" fontId="4" fillId="0" borderId="49" xfId="5" applyNumberFormat="1" applyBorder="1"/>
    <xf numFmtId="41" fontId="4" fillId="0" borderId="35" xfId="5" applyNumberFormat="1" applyBorder="1"/>
    <xf numFmtId="0" fontId="2" fillId="0" borderId="21" xfId="0" applyFont="1" applyBorder="1" applyAlignment="1">
      <alignment horizontal="center"/>
    </xf>
    <xf numFmtId="0" fontId="2" fillId="0" borderId="22" xfId="0" applyFont="1" applyBorder="1" applyAlignment="1">
      <alignment horizontal="center"/>
    </xf>
    <xf numFmtId="3" fontId="1" fillId="0" borderId="35" xfId="0" applyNumberFormat="1" applyFont="1" applyBorder="1" applyAlignment="1">
      <alignment horizontal="center"/>
    </xf>
    <xf numFmtId="0" fontId="1" fillId="0" borderId="35" xfId="0" applyFont="1" applyBorder="1" applyAlignment="1">
      <alignment horizontal="center"/>
    </xf>
    <xf numFmtId="0" fontId="1" fillId="0" borderId="36" xfId="0" applyFont="1" applyBorder="1" applyAlignment="1">
      <alignment horizontal="center"/>
    </xf>
    <xf numFmtId="0" fontId="1" fillId="0" borderId="0" xfId="0" applyFont="1" applyAlignment="1">
      <alignment horizontal="right"/>
    </xf>
    <xf numFmtId="0" fontId="2" fillId="7" borderId="0" xfId="0" applyFont="1" applyFill="1"/>
    <xf numFmtId="0" fontId="0" fillId="7" borderId="0" xfId="0" applyFill="1"/>
    <xf numFmtId="165" fontId="0" fillId="7" borderId="0" xfId="1" applyNumberFormat="1" applyFont="1" applyFill="1" applyBorder="1"/>
    <xf numFmtId="0" fontId="2" fillId="7" borderId="0" xfId="0" applyFont="1" applyFill="1" applyAlignment="1">
      <alignment horizontal="right" wrapText="1"/>
    </xf>
    <xf numFmtId="0" fontId="2" fillId="0" borderId="1" xfId="0" applyFont="1" applyFill="1" applyBorder="1" applyAlignment="1">
      <alignment horizontal="center" vertical="center"/>
    </xf>
    <xf numFmtId="0" fontId="1" fillId="0" borderId="0" xfId="0" applyFont="1" applyFill="1"/>
    <xf numFmtId="0" fontId="10" fillId="0" borderId="0" xfId="0" applyFont="1" applyFill="1" applyAlignment="1">
      <alignment horizontal="right"/>
    </xf>
    <xf numFmtId="41" fontId="2" fillId="0" borderId="0" xfId="0" applyNumberFormat="1" applyFont="1" applyFill="1"/>
    <xf numFmtId="171" fontId="0" fillId="0" borderId="0" xfId="0" applyNumberFormat="1" applyFont="1" applyFill="1" applyBorder="1"/>
    <xf numFmtId="0" fontId="11" fillId="0" borderId="8" xfId="0" applyFont="1" applyBorder="1"/>
    <xf numFmtId="0" fontId="11" fillId="0" borderId="9" xfId="0" applyFont="1" applyBorder="1"/>
    <xf numFmtId="41" fontId="11" fillId="0" borderId="9" xfId="0" applyNumberFormat="1" applyFont="1" applyBorder="1"/>
    <xf numFmtId="0" fontId="10" fillId="0" borderId="10" xfId="0" applyFont="1" applyBorder="1" applyAlignment="1">
      <alignment horizontal="right"/>
    </xf>
    <xf numFmtId="41" fontId="10" fillId="0" borderId="11" xfId="0" applyNumberFormat="1" applyFont="1" applyBorder="1"/>
    <xf numFmtId="43" fontId="10" fillId="0" borderId="12" xfId="0" applyNumberFormat="1" applyFont="1" applyBorder="1"/>
    <xf numFmtId="41" fontId="10" fillId="0" borderId="10" xfId="0" applyNumberFormat="1" applyFont="1" applyBorder="1"/>
    <xf numFmtId="0" fontId="11" fillId="0" borderId="8" xfId="0" applyFont="1" applyBorder="1" applyAlignment="1">
      <alignment horizontal="center"/>
    </xf>
    <xf numFmtId="0" fontId="11" fillId="0" borderId="9" xfId="0" applyFont="1" applyBorder="1" applyAlignment="1">
      <alignment horizontal="center"/>
    </xf>
    <xf numFmtId="165" fontId="11" fillId="0" borderId="0" xfId="1" applyNumberFormat="1" applyFont="1" applyBorder="1"/>
    <xf numFmtId="0" fontId="11" fillId="0" borderId="9" xfId="0" applyFont="1" applyBorder="1" applyAlignment="1">
      <alignment horizontal="right"/>
    </xf>
    <xf numFmtId="41" fontId="11" fillId="0" borderId="9" xfId="0" applyNumberFormat="1" applyFont="1" applyBorder="1" applyAlignment="1">
      <alignment horizontal="right"/>
    </xf>
    <xf numFmtId="43" fontId="10" fillId="0" borderId="12" xfId="0" applyNumberFormat="1" applyFont="1" applyBorder="1" applyAlignment="1">
      <alignment horizontal="right"/>
    </xf>
    <xf numFmtId="43" fontId="11" fillId="0" borderId="0" xfId="0" applyNumberFormat="1" applyFont="1" applyBorder="1" applyAlignment="1">
      <alignment horizontal="right"/>
    </xf>
    <xf numFmtId="41" fontId="11" fillId="0" borderId="0" xfId="0" applyNumberFormat="1" applyFont="1" applyBorder="1" applyAlignment="1">
      <alignment horizontal="right"/>
    </xf>
    <xf numFmtId="0" fontId="11" fillId="0" borderId="0" xfId="0" applyFont="1" applyFill="1" applyBorder="1" applyAlignment="1">
      <alignment horizontal="left"/>
    </xf>
    <xf numFmtId="0" fontId="11" fillId="0" borderId="0" xfId="0" applyFont="1" applyFill="1" applyBorder="1" applyAlignment="1"/>
    <xf numFmtId="0" fontId="11" fillId="0" borderId="0" xfId="0" applyNumberFormat="1" applyFont="1" applyBorder="1"/>
    <xf numFmtId="0" fontId="34" fillId="5" borderId="0" xfId="0" applyFont="1" applyFill="1" applyAlignment="1">
      <alignment horizontal="center" vertical="center"/>
    </xf>
    <xf numFmtId="0" fontId="4" fillId="0" borderId="0" xfId="5" applyAlignment="1">
      <alignment horizontal="center"/>
    </xf>
    <xf numFmtId="0" fontId="2" fillId="9" borderId="0" xfId="5" applyFont="1" applyFill="1" applyAlignment="1">
      <alignment horizontal="center"/>
    </xf>
    <xf numFmtId="0" fontId="3" fillId="9" borderId="0" xfId="0" applyFont="1" applyFill="1" applyAlignment="1">
      <alignment horizontal="center" vertical="center"/>
    </xf>
    <xf numFmtId="0" fontId="21" fillId="5" borderId="37" xfId="0" applyFont="1" applyFill="1" applyBorder="1" applyAlignment="1">
      <alignment horizontal="center" vertical="center"/>
    </xf>
    <xf numFmtId="0" fontId="21" fillId="5" borderId="38" xfId="0" applyFont="1" applyFill="1" applyBorder="1" applyAlignment="1">
      <alignment horizontal="center" vertical="center"/>
    </xf>
    <xf numFmtId="0" fontId="21" fillId="5" borderId="39" xfId="0" applyFont="1" applyFill="1" applyBorder="1" applyAlignment="1">
      <alignment horizontal="center" vertical="center"/>
    </xf>
    <xf numFmtId="0" fontId="21" fillId="5" borderId="27" xfId="0" applyFont="1" applyFill="1" applyBorder="1" applyAlignment="1">
      <alignment horizontal="center" vertical="center"/>
    </xf>
    <xf numFmtId="0" fontId="21" fillId="5" borderId="28" xfId="0" applyFont="1" applyFill="1" applyBorder="1" applyAlignment="1">
      <alignment horizontal="center" vertical="center"/>
    </xf>
    <xf numFmtId="0" fontId="21" fillId="5" borderId="29" xfId="0" applyFont="1" applyFill="1" applyBorder="1" applyAlignment="1">
      <alignment horizontal="center" vertical="center"/>
    </xf>
    <xf numFmtId="0" fontId="45" fillId="9" borderId="0" xfId="0" applyFont="1" applyFill="1" applyAlignment="1">
      <alignment horizontal="center" vertical="center"/>
    </xf>
    <xf numFmtId="0" fontId="23" fillId="9" borderId="3" xfId="0" applyFont="1" applyFill="1" applyBorder="1" applyAlignment="1">
      <alignment horizontal="center" vertical="center"/>
    </xf>
    <xf numFmtId="0" fontId="23" fillId="9" borderId="4" xfId="0" applyFont="1" applyFill="1" applyBorder="1" applyAlignment="1">
      <alignment horizontal="center" vertical="center"/>
    </xf>
    <xf numFmtId="0" fontId="23" fillId="9" borderId="13" xfId="0" applyFont="1" applyFill="1" applyBorder="1" applyAlignment="1">
      <alignment horizontal="center" vertical="center"/>
    </xf>
    <xf numFmtId="0" fontId="23" fillId="9" borderId="6" xfId="0" applyFont="1" applyFill="1" applyBorder="1" applyAlignment="1">
      <alignment horizontal="center" vertical="center"/>
    </xf>
    <xf numFmtId="0" fontId="23" fillId="9" borderId="7" xfId="0" applyFont="1" applyFill="1" applyBorder="1" applyAlignment="1">
      <alignment horizontal="center" vertical="center"/>
    </xf>
    <xf numFmtId="0" fontId="23" fillId="9" borderId="15" xfId="0" applyFont="1" applyFill="1" applyBorder="1" applyAlignment="1">
      <alignment horizontal="center" vertical="center"/>
    </xf>
    <xf numFmtId="0" fontId="45" fillId="9" borderId="40" xfId="0" applyFont="1" applyFill="1" applyBorder="1" applyAlignment="1">
      <alignment horizontal="center" vertical="center" wrapText="1"/>
    </xf>
    <xf numFmtId="0" fontId="45" fillId="9" borderId="41" xfId="0" applyFont="1" applyFill="1" applyBorder="1" applyAlignment="1">
      <alignment horizontal="center" vertical="center" wrapText="1"/>
    </xf>
    <xf numFmtId="0" fontId="45" fillId="9" borderId="42" xfId="0" applyFont="1" applyFill="1" applyBorder="1" applyAlignment="1">
      <alignment horizontal="center" vertical="center" wrapText="1"/>
    </xf>
    <xf numFmtId="0" fontId="23" fillId="9" borderId="43" xfId="0" applyFont="1" applyFill="1" applyBorder="1" applyAlignment="1">
      <alignment horizontal="center" vertical="center" wrapText="1"/>
    </xf>
    <xf numFmtId="0" fontId="23" fillId="9" borderId="28" xfId="0" applyFont="1" applyFill="1" applyBorder="1" applyAlignment="1">
      <alignment horizontal="center" vertical="center" wrapText="1"/>
    </xf>
    <xf numFmtId="0" fontId="23" fillId="9" borderId="44" xfId="0" applyFont="1" applyFill="1" applyBorder="1" applyAlignment="1">
      <alignment horizontal="center" vertical="center" wrapText="1"/>
    </xf>
    <xf numFmtId="0" fontId="45" fillId="9" borderId="0" xfId="5" applyFont="1" applyFill="1" applyBorder="1" applyAlignment="1">
      <alignment horizontal="center" vertical="center"/>
    </xf>
    <xf numFmtId="0" fontId="1" fillId="0" borderId="0" xfId="5" applyFont="1" applyFill="1" applyAlignment="1">
      <alignment horizontal="center"/>
    </xf>
    <xf numFmtId="0" fontId="4" fillId="0" borderId="0" xfId="5" applyFill="1" applyAlignment="1">
      <alignment horizontal="center"/>
    </xf>
    <xf numFmtId="0" fontId="1" fillId="0" borderId="0" xfId="5" applyFont="1" applyAlignment="1">
      <alignment horizontal="center"/>
    </xf>
    <xf numFmtId="0" fontId="10" fillId="0" borderId="17" xfId="0" applyFont="1" applyBorder="1" applyAlignment="1">
      <alignment horizontal="center"/>
    </xf>
    <xf numFmtId="0" fontId="10" fillId="0" borderId="18" xfId="0" applyFont="1" applyBorder="1" applyAlignment="1">
      <alignment horizontal="center"/>
    </xf>
    <xf numFmtId="0" fontId="10" fillId="0" borderId="16" xfId="0" applyFont="1" applyBorder="1" applyAlignment="1">
      <alignment horizontal="center"/>
    </xf>
    <xf numFmtId="0" fontId="11" fillId="0" borderId="0" xfId="0" applyFont="1" applyBorder="1" applyAlignment="1">
      <alignment horizontal="center"/>
    </xf>
    <xf numFmtId="0" fontId="21" fillId="9" borderId="0" xfId="0" applyFont="1" applyFill="1" applyBorder="1" applyAlignment="1">
      <alignment horizontal="center" vertical="center"/>
    </xf>
    <xf numFmtId="0" fontId="10" fillId="0" borderId="0" xfId="0" applyFont="1" applyFill="1" applyAlignment="1">
      <alignment horizontal="center"/>
    </xf>
    <xf numFmtId="0" fontId="45" fillId="9" borderId="0" xfId="0" applyFont="1" applyFill="1" applyAlignment="1">
      <alignment horizontal="center"/>
    </xf>
    <xf numFmtId="0" fontId="39" fillId="9" borderId="0" xfId="0" applyFont="1" applyFill="1" applyAlignment="1">
      <alignment horizontal="center" vertical="center"/>
    </xf>
    <xf numFmtId="0" fontId="46" fillId="9" borderId="50" xfId="0" applyFont="1" applyFill="1" applyBorder="1" applyAlignment="1">
      <alignment horizontal="center" vertical="center"/>
    </xf>
    <xf numFmtId="0" fontId="46" fillId="9" borderId="51" xfId="0" applyFont="1" applyFill="1" applyBorder="1" applyAlignment="1">
      <alignment horizontal="center" vertical="center"/>
    </xf>
    <xf numFmtId="0" fontId="46" fillId="9" borderId="52" xfId="0" applyFont="1" applyFill="1" applyBorder="1" applyAlignment="1">
      <alignment horizontal="center" vertical="center"/>
    </xf>
    <xf numFmtId="0" fontId="7" fillId="0" borderId="0" xfId="0" applyFont="1" applyAlignment="1">
      <alignment horizontal="center"/>
    </xf>
  </cellXfs>
  <cellStyles count="6">
    <cellStyle name="Comma" xfId="1" builtinId="3"/>
    <cellStyle name="Comma 2" xfId="2" xr:uid="{00000000-0005-0000-0000-000001000000}"/>
    <cellStyle name="Currency" xfId="3" builtinId="4"/>
    <cellStyle name="Currency 2" xfId="4" xr:uid="{00000000-0005-0000-0000-000003000000}"/>
    <cellStyle name="Normal" xfId="0" builtinId="0"/>
    <cellStyle name="Normal 2" xfId="5"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89"/>
  <sheetViews>
    <sheetView topLeftCell="A25" workbookViewId="0">
      <selection activeCell="A4" sqref="A4"/>
    </sheetView>
  </sheetViews>
  <sheetFormatPr baseColWidth="10" defaultColWidth="8.83203125" defaultRowHeight="13" x14ac:dyDescent="0.15"/>
  <cols>
    <col min="1" max="1" width="118.1640625" customWidth="1"/>
  </cols>
  <sheetData>
    <row r="1" spans="1:18" ht="15" x14ac:dyDescent="0.15">
      <c r="A1" s="396" t="s">
        <v>280</v>
      </c>
      <c r="B1" s="172"/>
      <c r="C1" s="172"/>
      <c r="D1" s="172"/>
      <c r="E1" s="172"/>
      <c r="F1" s="172"/>
      <c r="G1" s="172"/>
      <c r="H1" s="172"/>
      <c r="I1" s="172"/>
      <c r="J1" s="172"/>
      <c r="K1" s="172"/>
      <c r="L1" s="172"/>
      <c r="M1" s="172"/>
      <c r="N1" s="172"/>
      <c r="O1" s="172"/>
      <c r="P1" s="172"/>
      <c r="Q1" s="172"/>
      <c r="R1" s="172"/>
    </row>
    <row r="2" spans="1:18" ht="15" x14ac:dyDescent="0.15">
      <c r="A2" s="396"/>
      <c r="B2" s="172"/>
      <c r="C2" s="172"/>
      <c r="D2" s="172"/>
      <c r="E2" s="172"/>
      <c r="F2" s="172"/>
      <c r="G2" s="172"/>
      <c r="H2" s="172"/>
      <c r="I2" s="172"/>
      <c r="J2" s="172"/>
      <c r="K2" s="172"/>
      <c r="L2" s="172"/>
      <c r="M2" s="172"/>
      <c r="N2" s="172"/>
      <c r="O2" s="172"/>
      <c r="P2" s="172"/>
      <c r="Q2" s="172"/>
      <c r="R2" s="172"/>
    </row>
    <row r="3" spans="1:18" ht="15" x14ac:dyDescent="0.15">
      <c r="A3" s="173" t="s">
        <v>240</v>
      </c>
      <c r="B3" s="171"/>
      <c r="C3" s="171"/>
      <c r="D3" s="171"/>
      <c r="E3" s="171"/>
      <c r="F3" s="171"/>
      <c r="G3" s="171"/>
      <c r="H3" s="171"/>
      <c r="I3" s="171"/>
      <c r="J3" s="171"/>
      <c r="K3" s="171"/>
      <c r="L3" s="171"/>
      <c r="M3" s="171"/>
      <c r="N3" s="171"/>
      <c r="O3" s="171"/>
      <c r="P3" s="171"/>
      <c r="Q3" s="171"/>
      <c r="R3" s="171"/>
    </row>
    <row r="4" spans="1:18" s="15" customFormat="1" ht="25.5" customHeight="1" x14ac:dyDescent="0.15">
      <c r="A4" s="253" t="s">
        <v>281</v>
      </c>
      <c r="B4" s="252"/>
      <c r="C4" s="252"/>
      <c r="D4" s="252"/>
      <c r="E4" s="252"/>
      <c r="F4" s="252"/>
      <c r="G4" s="252"/>
      <c r="H4" s="252"/>
      <c r="I4" s="252"/>
      <c r="J4" s="252"/>
      <c r="K4" s="252"/>
      <c r="L4" s="252"/>
      <c r="M4" s="252"/>
      <c r="N4" s="252"/>
      <c r="O4" s="252"/>
      <c r="P4" s="252"/>
      <c r="Q4" s="252"/>
      <c r="R4" s="252"/>
    </row>
    <row r="5" spans="1:18" ht="16" hidden="1" x14ac:dyDescent="0.15">
      <c r="A5" s="177" t="s">
        <v>276</v>
      </c>
      <c r="B5" s="171"/>
      <c r="C5" s="171"/>
      <c r="D5" s="171"/>
      <c r="E5" s="171"/>
      <c r="F5" s="171"/>
      <c r="G5" s="171"/>
      <c r="H5" s="171"/>
      <c r="I5" s="171"/>
      <c r="J5" s="171"/>
      <c r="K5" s="171"/>
      <c r="L5" s="171"/>
      <c r="M5" s="171"/>
      <c r="N5" s="171"/>
      <c r="O5" s="171"/>
      <c r="P5" s="171"/>
      <c r="Q5" s="171"/>
      <c r="R5" s="171"/>
    </row>
    <row r="6" spans="1:18" ht="15" hidden="1" x14ac:dyDescent="0.15">
      <c r="A6" s="173" t="s">
        <v>241</v>
      </c>
      <c r="B6" s="171"/>
      <c r="C6" s="171"/>
      <c r="D6" s="171"/>
      <c r="E6" s="171"/>
      <c r="F6" s="171"/>
      <c r="G6" s="171"/>
      <c r="H6" s="171"/>
      <c r="I6" s="171"/>
      <c r="J6" s="171"/>
      <c r="K6" s="171"/>
      <c r="L6" s="171"/>
      <c r="M6" s="171"/>
      <c r="N6" s="171"/>
      <c r="O6" s="171"/>
      <c r="P6" s="171"/>
      <c r="Q6" s="171"/>
      <c r="R6" s="171"/>
    </row>
    <row r="7" spans="1:18" s="9" customFormat="1" ht="15" hidden="1" x14ac:dyDescent="0.15">
      <c r="A7" s="181" t="s">
        <v>245</v>
      </c>
      <c r="B7" s="142"/>
      <c r="C7" s="142"/>
      <c r="D7" s="142"/>
      <c r="E7" s="142"/>
      <c r="F7" s="142"/>
      <c r="G7" s="142"/>
      <c r="H7" s="142"/>
      <c r="I7" s="142"/>
      <c r="J7" s="142"/>
      <c r="K7" s="142"/>
      <c r="L7" s="142"/>
      <c r="M7" s="142"/>
      <c r="N7" s="142"/>
      <c r="O7" s="142"/>
      <c r="P7" s="142"/>
      <c r="Q7" s="142"/>
      <c r="R7" s="142"/>
    </row>
    <row r="8" spans="1:18" s="9" customFormat="1" ht="15" hidden="1" x14ac:dyDescent="0.15">
      <c r="A8" s="182" t="s">
        <v>246</v>
      </c>
      <c r="B8" s="142"/>
      <c r="C8" s="142"/>
      <c r="D8" s="142"/>
      <c r="E8" s="142"/>
      <c r="F8" s="142"/>
      <c r="G8" s="142"/>
      <c r="H8" s="142"/>
      <c r="I8" s="142"/>
      <c r="J8" s="142"/>
      <c r="K8" s="142"/>
      <c r="L8" s="142"/>
      <c r="M8" s="142"/>
      <c r="N8" s="142"/>
      <c r="O8" s="142"/>
      <c r="P8" s="142"/>
      <c r="Q8" s="142"/>
      <c r="R8" s="142"/>
    </row>
    <row r="9" spans="1:18" s="9" customFormat="1" ht="15" hidden="1" x14ac:dyDescent="0.15">
      <c r="A9" s="181" t="s">
        <v>247</v>
      </c>
      <c r="B9" s="142"/>
      <c r="C9" s="142"/>
      <c r="D9" s="142"/>
      <c r="E9" s="142"/>
      <c r="F9" s="142"/>
      <c r="G9" s="142"/>
      <c r="H9" s="142"/>
      <c r="I9" s="142"/>
      <c r="J9" s="142"/>
      <c r="K9" s="142"/>
      <c r="L9" s="142"/>
      <c r="M9" s="142"/>
      <c r="N9" s="142"/>
      <c r="O9" s="142"/>
      <c r="P9" s="142"/>
      <c r="Q9" s="142"/>
      <c r="R9" s="142"/>
    </row>
    <row r="10" spans="1:18" ht="15" x14ac:dyDescent="0.15">
      <c r="A10" s="174"/>
      <c r="B10" s="171"/>
      <c r="C10" s="171"/>
      <c r="D10" s="171"/>
      <c r="E10" s="171"/>
      <c r="F10" s="171"/>
      <c r="G10" s="171"/>
      <c r="H10" s="171"/>
      <c r="I10" s="171"/>
      <c r="J10" s="171"/>
      <c r="K10" s="171"/>
      <c r="L10" s="171"/>
      <c r="M10" s="171"/>
      <c r="N10" s="171"/>
      <c r="O10" s="171"/>
      <c r="P10" s="171"/>
      <c r="Q10" s="171"/>
      <c r="R10" s="171"/>
    </row>
    <row r="11" spans="1:18" ht="15" x14ac:dyDescent="0.15">
      <c r="A11" s="173" t="s">
        <v>242</v>
      </c>
      <c r="B11" s="171"/>
      <c r="C11" s="171"/>
      <c r="D11" s="171"/>
      <c r="E11" s="171"/>
      <c r="F11" s="171"/>
      <c r="G11" s="171"/>
      <c r="H11" s="171"/>
      <c r="I11" s="171"/>
      <c r="J11" s="171"/>
      <c r="K11" s="171"/>
      <c r="L11" s="171"/>
      <c r="M11" s="171"/>
      <c r="N11" s="171"/>
      <c r="O11" s="171"/>
      <c r="P11" s="171"/>
      <c r="Q11" s="171"/>
      <c r="R11" s="171"/>
    </row>
    <row r="12" spans="1:18" ht="15" x14ac:dyDescent="0.15">
      <c r="A12" s="175" t="s">
        <v>243</v>
      </c>
      <c r="B12" s="171"/>
      <c r="C12" s="171"/>
      <c r="D12" s="171"/>
      <c r="E12" s="171"/>
      <c r="F12" s="171"/>
      <c r="G12" s="171"/>
      <c r="H12" s="171"/>
      <c r="I12" s="171"/>
      <c r="J12" s="171"/>
      <c r="K12" s="171"/>
      <c r="L12" s="171"/>
      <c r="M12" s="171"/>
      <c r="N12" s="171"/>
      <c r="O12" s="171"/>
      <c r="P12" s="171"/>
      <c r="Q12" s="171"/>
      <c r="R12" s="171"/>
    </row>
    <row r="13" spans="1:18" ht="82.5" customHeight="1" x14ac:dyDescent="0.15">
      <c r="A13" s="254" t="s">
        <v>303</v>
      </c>
      <c r="B13" s="171"/>
      <c r="C13" s="171"/>
      <c r="D13" s="171"/>
      <c r="E13" s="171"/>
      <c r="F13" s="171"/>
      <c r="G13" s="171"/>
      <c r="H13" s="171"/>
      <c r="I13" s="171"/>
      <c r="J13" s="171"/>
      <c r="K13" s="171"/>
      <c r="L13" s="171"/>
      <c r="M13" s="171"/>
      <c r="N13" s="171"/>
      <c r="O13" s="171"/>
      <c r="P13" s="171"/>
      <c r="Q13" s="171"/>
      <c r="R13" s="171"/>
    </row>
    <row r="14" spans="1:18" ht="15" x14ac:dyDescent="0.15">
      <c r="A14" s="176"/>
      <c r="B14" s="171"/>
      <c r="C14" s="171"/>
      <c r="D14" s="171"/>
      <c r="E14" s="171"/>
      <c r="F14" s="171"/>
      <c r="G14" s="171"/>
      <c r="H14" s="171"/>
      <c r="I14" s="171"/>
      <c r="J14" s="171"/>
      <c r="K14" s="171"/>
      <c r="L14" s="171"/>
      <c r="M14" s="171"/>
      <c r="N14" s="171"/>
      <c r="O14" s="171"/>
      <c r="P14" s="171"/>
      <c r="Q14" s="171"/>
      <c r="R14" s="171"/>
    </row>
    <row r="15" spans="1:18" ht="30" x14ac:dyDescent="0.15">
      <c r="A15" s="254" t="s">
        <v>304</v>
      </c>
      <c r="B15" s="171"/>
      <c r="C15" s="171"/>
      <c r="D15" s="171"/>
      <c r="E15" s="171"/>
      <c r="F15" s="171"/>
      <c r="G15" s="171"/>
      <c r="H15" s="171"/>
      <c r="I15" s="171"/>
      <c r="J15" s="171"/>
      <c r="K15" s="171"/>
      <c r="L15" s="171"/>
      <c r="M15" s="171"/>
      <c r="N15" s="171"/>
      <c r="O15" s="171"/>
      <c r="P15" s="171"/>
      <c r="Q15" s="171"/>
      <c r="R15" s="171"/>
    </row>
    <row r="16" spans="1:18" ht="15" x14ac:dyDescent="0.15">
      <c r="A16" s="176"/>
      <c r="B16" s="171"/>
      <c r="C16" s="171"/>
      <c r="D16" s="171"/>
      <c r="E16" s="171"/>
      <c r="F16" s="171"/>
      <c r="G16" s="171"/>
      <c r="H16" s="171"/>
      <c r="I16" s="171"/>
      <c r="J16" s="171"/>
      <c r="K16" s="171"/>
      <c r="L16" s="171"/>
      <c r="M16" s="171"/>
      <c r="N16" s="171"/>
      <c r="O16" s="171"/>
      <c r="P16" s="171"/>
      <c r="Q16" s="171"/>
      <c r="R16" s="171"/>
    </row>
    <row r="17" spans="1:18" ht="30" x14ac:dyDescent="0.15">
      <c r="A17" s="254" t="s">
        <v>305</v>
      </c>
      <c r="B17" s="171"/>
      <c r="C17" s="171"/>
      <c r="D17" s="171"/>
      <c r="E17" s="171"/>
      <c r="F17" s="171"/>
      <c r="G17" s="171"/>
      <c r="H17" s="171"/>
      <c r="I17" s="171"/>
      <c r="J17" s="171"/>
      <c r="K17" s="171"/>
      <c r="L17" s="171"/>
      <c r="M17" s="171"/>
      <c r="N17" s="171"/>
      <c r="O17" s="171"/>
      <c r="P17" s="171"/>
      <c r="Q17" s="171"/>
      <c r="R17" s="171"/>
    </row>
    <row r="18" spans="1:18" ht="15" x14ac:dyDescent="0.15">
      <c r="A18" s="176"/>
      <c r="B18" s="171"/>
      <c r="C18" s="171"/>
      <c r="D18" s="171"/>
      <c r="E18" s="171"/>
      <c r="F18" s="171"/>
      <c r="G18" s="171"/>
      <c r="H18" s="171"/>
      <c r="I18" s="171"/>
      <c r="J18" s="171"/>
      <c r="K18" s="171"/>
      <c r="L18" s="171"/>
      <c r="M18" s="171"/>
      <c r="N18" s="171"/>
      <c r="O18" s="171"/>
      <c r="P18" s="171"/>
      <c r="Q18" s="171"/>
      <c r="R18" s="171"/>
    </row>
    <row r="19" spans="1:18" ht="15" x14ac:dyDescent="0.15">
      <c r="A19" s="175" t="s">
        <v>244</v>
      </c>
      <c r="B19" s="171"/>
      <c r="C19" s="171"/>
      <c r="D19" s="171"/>
      <c r="E19" s="171"/>
      <c r="F19" s="171"/>
      <c r="G19" s="171"/>
      <c r="H19" s="171"/>
      <c r="I19" s="171"/>
      <c r="J19" s="171"/>
      <c r="K19" s="171"/>
      <c r="L19" s="171"/>
      <c r="M19" s="171"/>
      <c r="N19" s="171"/>
      <c r="O19" s="171"/>
      <c r="P19" s="171"/>
      <c r="Q19" s="171"/>
      <c r="R19" s="171"/>
    </row>
    <row r="20" spans="1:18" s="15" customFormat="1" ht="42" customHeight="1" x14ac:dyDescent="0.15">
      <c r="A20" s="254" t="s">
        <v>306</v>
      </c>
      <c r="B20" s="252"/>
      <c r="C20" s="252"/>
      <c r="D20" s="252"/>
      <c r="E20" s="252"/>
      <c r="F20" s="252"/>
      <c r="G20" s="252"/>
      <c r="H20" s="252"/>
      <c r="I20" s="252"/>
      <c r="J20" s="252"/>
      <c r="K20" s="252"/>
      <c r="L20" s="252"/>
      <c r="M20" s="252"/>
      <c r="N20" s="252"/>
      <c r="O20" s="252"/>
      <c r="P20" s="252"/>
      <c r="Q20" s="252"/>
      <c r="R20" s="252"/>
    </row>
    <row r="21" spans="1:18" ht="14" x14ac:dyDescent="0.15">
      <c r="A21" s="254"/>
      <c r="B21" s="171"/>
      <c r="C21" s="171"/>
      <c r="D21" s="171"/>
      <c r="E21" s="171"/>
      <c r="F21" s="171"/>
      <c r="G21" s="171"/>
      <c r="H21" s="171"/>
      <c r="I21" s="171"/>
      <c r="J21" s="171"/>
      <c r="K21" s="171"/>
      <c r="L21" s="171"/>
      <c r="M21" s="171"/>
      <c r="N21" s="171"/>
      <c r="O21" s="171"/>
      <c r="P21" s="171"/>
      <c r="Q21" s="171"/>
      <c r="R21" s="171"/>
    </row>
    <row r="22" spans="1:18" s="15" customFormat="1" ht="30" x14ac:dyDescent="0.15">
      <c r="A22" s="254" t="s">
        <v>307</v>
      </c>
      <c r="B22" s="252"/>
      <c r="C22" s="252"/>
      <c r="D22" s="252"/>
      <c r="E22" s="252"/>
      <c r="F22" s="252"/>
      <c r="G22" s="252"/>
      <c r="H22" s="252"/>
      <c r="I22" s="252"/>
      <c r="J22" s="252"/>
      <c r="K22" s="252"/>
      <c r="L22" s="252"/>
      <c r="M22" s="252"/>
      <c r="N22" s="252"/>
      <c r="O22" s="252"/>
      <c r="P22" s="252"/>
      <c r="Q22" s="252"/>
      <c r="R22" s="252"/>
    </row>
    <row r="23" spans="1:18" ht="14" x14ac:dyDescent="0.15">
      <c r="A23" s="254"/>
      <c r="B23" s="171"/>
      <c r="C23" s="171"/>
      <c r="D23" s="171"/>
      <c r="E23" s="171"/>
      <c r="F23" s="171"/>
      <c r="G23" s="171"/>
      <c r="H23" s="171"/>
      <c r="I23" s="171"/>
      <c r="J23" s="171"/>
      <c r="K23" s="171"/>
      <c r="L23" s="171"/>
      <c r="M23" s="171"/>
      <c r="N23" s="171"/>
      <c r="O23" s="171"/>
      <c r="P23" s="171"/>
      <c r="Q23" s="171"/>
      <c r="R23" s="171"/>
    </row>
    <row r="24" spans="1:18" s="15" customFormat="1" ht="56.25" customHeight="1" x14ac:dyDescent="0.15">
      <c r="A24" s="254" t="s">
        <v>308</v>
      </c>
      <c r="B24" s="252"/>
      <c r="C24" s="252"/>
      <c r="D24" s="252"/>
      <c r="E24" s="252"/>
      <c r="F24" s="252"/>
      <c r="G24" s="252"/>
      <c r="H24" s="252"/>
      <c r="I24" s="252"/>
      <c r="J24" s="252"/>
      <c r="K24" s="252"/>
      <c r="L24" s="252"/>
      <c r="M24" s="252"/>
      <c r="N24" s="252"/>
      <c r="O24" s="252"/>
      <c r="P24" s="252"/>
      <c r="Q24" s="252"/>
      <c r="R24" s="252"/>
    </row>
    <row r="25" spans="1:18" ht="14" x14ac:dyDescent="0.15">
      <c r="A25" s="254"/>
      <c r="B25" s="171"/>
      <c r="C25" s="171"/>
      <c r="D25" s="171"/>
      <c r="E25" s="171"/>
      <c r="F25" s="171"/>
      <c r="G25" s="171"/>
      <c r="H25" s="171"/>
      <c r="I25" s="171"/>
      <c r="J25" s="171"/>
      <c r="K25" s="171"/>
      <c r="L25" s="171"/>
      <c r="M25" s="171"/>
      <c r="N25" s="171"/>
      <c r="O25" s="171"/>
      <c r="P25" s="171"/>
      <c r="Q25" s="171"/>
      <c r="R25" s="171"/>
    </row>
    <row r="26" spans="1:18" s="15" customFormat="1" ht="30" x14ac:dyDescent="0.15">
      <c r="A26" s="254" t="s">
        <v>309</v>
      </c>
      <c r="B26" s="252"/>
      <c r="C26" s="252"/>
      <c r="D26" s="252"/>
      <c r="E26" s="252"/>
      <c r="F26" s="252"/>
      <c r="G26" s="252"/>
      <c r="H26" s="252"/>
      <c r="I26" s="252"/>
      <c r="J26" s="252"/>
      <c r="K26" s="252"/>
      <c r="L26" s="252"/>
      <c r="M26" s="252"/>
      <c r="N26" s="252"/>
      <c r="O26" s="252"/>
      <c r="P26" s="252"/>
      <c r="Q26" s="252"/>
      <c r="R26" s="252"/>
    </row>
    <row r="27" spans="1:18" ht="14" x14ac:dyDescent="0.15">
      <c r="A27" s="254"/>
      <c r="B27" s="171"/>
      <c r="C27" s="171"/>
      <c r="D27" s="171"/>
      <c r="E27" s="171"/>
      <c r="F27" s="171"/>
      <c r="G27" s="171"/>
      <c r="H27" s="171"/>
      <c r="I27" s="171"/>
      <c r="J27" s="171"/>
      <c r="K27" s="171"/>
      <c r="L27" s="171"/>
      <c r="M27" s="171"/>
      <c r="N27" s="171"/>
      <c r="O27" s="171"/>
      <c r="P27" s="171"/>
      <c r="Q27" s="171"/>
      <c r="R27" s="171"/>
    </row>
    <row r="28" spans="1:18" ht="15" x14ac:dyDescent="0.15">
      <c r="A28" s="254" t="s">
        <v>310</v>
      </c>
      <c r="B28" s="171"/>
      <c r="C28" s="171"/>
      <c r="D28" s="171"/>
      <c r="E28" s="171"/>
      <c r="F28" s="171"/>
      <c r="G28" s="171"/>
      <c r="H28" s="171"/>
      <c r="I28" s="171"/>
      <c r="J28" s="171"/>
      <c r="K28" s="171"/>
      <c r="L28" s="171"/>
      <c r="M28" s="171"/>
      <c r="N28" s="171"/>
      <c r="O28" s="171"/>
      <c r="P28" s="171"/>
      <c r="Q28" s="171"/>
      <c r="R28" s="171"/>
    </row>
    <row r="29" spans="1:18" ht="14" x14ac:dyDescent="0.15">
      <c r="A29" s="254"/>
      <c r="B29" s="171"/>
      <c r="C29" s="171"/>
      <c r="D29" s="171"/>
      <c r="E29" s="171"/>
      <c r="F29" s="171"/>
      <c r="G29" s="171"/>
      <c r="H29" s="171"/>
      <c r="I29" s="171"/>
      <c r="J29" s="171"/>
      <c r="K29" s="171"/>
      <c r="L29" s="171"/>
      <c r="M29" s="171"/>
      <c r="N29" s="171"/>
      <c r="O29" s="171"/>
      <c r="P29" s="171"/>
      <c r="Q29" s="171"/>
      <c r="R29" s="171"/>
    </row>
    <row r="30" spans="1:18" s="15" customFormat="1" ht="30" x14ac:dyDescent="0.15">
      <c r="A30" s="254" t="s">
        <v>311</v>
      </c>
      <c r="B30" s="252"/>
      <c r="C30" s="252"/>
      <c r="D30" s="252"/>
      <c r="E30" s="252"/>
      <c r="F30" s="252"/>
      <c r="G30" s="252"/>
      <c r="H30" s="252"/>
      <c r="I30" s="252"/>
      <c r="J30" s="252"/>
      <c r="K30" s="252"/>
      <c r="L30" s="252"/>
      <c r="M30" s="252"/>
      <c r="N30" s="252"/>
      <c r="O30" s="252"/>
      <c r="P30" s="252"/>
      <c r="Q30" s="252"/>
      <c r="R30" s="252"/>
    </row>
    <row r="31" spans="1:18" s="15" customFormat="1" ht="14" x14ac:dyDescent="0.15">
      <c r="A31" s="254"/>
      <c r="B31" s="252"/>
      <c r="C31" s="252"/>
      <c r="D31" s="252"/>
      <c r="E31" s="252"/>
      <c r="F31" s="252"/>
      <c r="G31" s="252"/>
      <c r="H31" s="252"/>
      <c r="I31" s="252"/>
      <c r="J31" s="252"/>
      <c r="K31" s="252"/>
      <c r="L31" s="252"/>
      <c r="M31" s="252"/>
      <c r="N31" s="252"/>
      <c r="O31" s="252"/>
      <c r="P31" s="252"/>
      <c r="Q31" s="252"/>
      <c r="R31" s="252"/>
    </row>
    <row r="32" spans="1:18" ht="15" x14ac:dyDescent="0.15">
      <c r="A32" s="253" t="s">
        <v>312</v>
      </c>
      <c r="B32" s="171"/>
      <c r="C32" s="171"/>
      <c r="D32" s="171"/>
      <c r="E32" s="171"/>
      <c r="F32" s="171"/>
      <c r="G32" s="171"/>
      <c r="H32" s="171"/>
      <c r="I32" s="171"/>
      <c r="J32" s="171"/>
      <c r="K32" s="171"/>
      <c r="L32" s="171"/>
      <c r="M32" s="171"/>
      <c r="N32" s="171"/>
      <c r="O32" s="171"/>
      <c r="P32" s="171"/>
      <c r="Q32" s="171"/>
      <c r="R32" s="171"/>
    </row>
    <row r="33" spans="1:18" ht="14" x14ac:dyDescent="0.15">
      <c r="A33" s="253"/>
      <c r="B33" s="171"/>
      <c r="C33" s="171"/>
      <c r="D33" s="171"/>
      <c r="E33" s="171"/>
      <c r="F33" s="171"/>
      <c r="G33" s="171"/>
      <c r="H33" s="171"/>
      <c r="I33" s="171"/>
      <c r="J33" s="171"/>
      <c r="K33" s="171"/>
      <c r="L33" s="171"/>
      <c r="M33" s="171"/>
      <c r="N33" s="171"/>
      <c r="O33" s="171"/>
      <c r="P33" s="171"/>
      <c r="Q33" s="171"/>
      <c r="R33" s="171"/>
    </row>
    <row r="34" spans="1:18" ht="15" x14ac:dyDescent="0.15">
      <c r="A34" s="254" t="s">
        <v>313</v>
      </c>
      <c r="B34" s="171"/>
      <c r="C34" s="171"/>
      <c r="D34" s="171"/>
      <c r="E34" s="171"/>
      <c r="F34" s="171"/>
      <c r="G34" s="171"/>
      <c r="H34" s="171"/>
      <c r="I34" s="171"/>
      <c r="J34" s="171"/>
      <c r="K34" s="171"/>
      <c r="L34" s="171"/>
      <c r="M34" s="171"/>
      <c r="N34" s="171"/>
      <c r="O34" s="171"/>
      <c r="P34" s="171"/>
      <c r="Q34" s="171"/>
      <c r="R34" s="171"/>
    </row>
    <row r="35" spans="1:18" ht="14" x14ac:dyDescent="0.15">
      <c r="A35" s="254"/>
      <c r="B35" s="171"/>
      <c r="C35" s="171"/>
      <c r="D35" s="171"/>
      <c r="E35" s="171"/>
      <c r="F35" s="171"/>
      <c r="G35" s="171"/>
      <c r="H35" s="171"/>
      <c r="I35" s="171"/>
      <c r="J35" s="171"/>
      <c r="K35" s="171"/>
      <c r="L35" s="171"/>
      <c r="M35" s="171"/>
      <c r="N35" s="171"/>
      <c r="O35" s="171"/>
      <c r="P35" s="171"/>
      <c r="Q35" s="171"/>
      <c r="R35" s="171"/>
    </row>
    <row r="36" spans="1:18" ht="60" x14ac:dyDescent="0.15">
      <c r="A36" s="254" t="s">
        <v>314</v>
      </c>
      <c r="B36" s="171"/>
      <c r="C36" s="171"/>
      <c r="D36" s="171"/>
      <c r="E36" s="171"/>
      <c r="F36" s="171"/>
      <c r="G36" s="171"/>
      <c r="H36" s="171"/>
      <c r="I36" s="171"/>
      <c r="J36" s="171"/>
      <c r="K36" s="171"/>
      <c r="L36" s="171"/>
      <c r="M36" s="171"/>
      <c r="N36" s="171"/>
      <c r="O36" s="171"/>
      <c r="P36" s="171"/>
      <c r="Q36" s="171"/>
      <c r="R36" s="171"/>
    </row>
    <row r="37" spans="1:18" ht="14" x14ac:dyDescent="0.15">
      <c r="A37" s="254"/>
      <c r="B37" s="171"/>
      <c r="C37" s="171"/>
      <c r="D37" s="171"/>
      <c r="E37" s="171"/>
      <c r="F37" s="171"/>
      <c r="G37" s="171"/>
      <c r="H37" s="171"/>
      <c r="I37" s="171"/>
      <c r="J37" s="171"/>
      <c r="K37" s="171"/>
      <c r="L37" s="171"/>
      <c r="M37" s="171"/>
      <c r="N37" s="171"/>
      <c r="O37" s="171"/>
      <c r="P37" s="171"/>
      <c r="Q37" s="171"/>
      <c r="R37" s="171"/>
    </row>
    <row r="38" spans="1:18" s="15" customFormat="1" ht="45" x14ac:dyDescent="0.15">
      <c r="A38" s="254" t="s">
        <v>315</v>
      </c>
      <c r="B38" s="252"/>
      <c r="C38" s="252"/>
      <c r="D38" s="252"/>
      <c r="E38" s="252"/>
      <c r="F38" s="252"/>
      <c r="G38" s="252"/>
      <c r="H38" s="252"/>
      <c r="I38" s="252"/>
      <c r="J38" s="252"/>
      <c r="K38" s="252"/>
      <c r="L38" s="252"/>
      <c r="M38" s="252"/>
      <c r="N38" s="252"/>
      <c r="O38" s="252"/>
      <c r="P38" s="252"/>
      <c r="Q38" s="252"/>
      <c r="R38" s="252"/>
    </row>
    <row r="39" spans="1:18" ht="14" x14ac:dyDescent="0.15">
      <c r="A39" s="254"/>
      <c r="B39" s="171"/>
      <c r="C39" s="171"/>
      <c r="D39" s="171"/>
      <c r="E39" s="171"/>
      <c r="F39" s="171"/>
      <c r="G39" s="171"/>
      <c r="H39" s="171"/>
      <c r="I39" s="171"/>
      <c r="J39" s="171"/>
      <c r="K39" s="171"/>
      <c r="L39" s="171"/>
      <c r="M39" s="171"/>
      <c r="N39" s="171"/>
      <c r="O39" s="171"/>
      <c r="P39" s="171"/>
      <c r="Q39" s="171"/>
      <c r="R39" s="171"/>
    </row>
    <row r="40" spans="1:18" ht="15" x14ac:dyDescent="0.15">
      <c r="A40" s="254" t="s">
        <v>316</v>
      </c>
      <c r="B40" s="171"/>
      <c r="C40" s="171"/>
      <c r="D40" s="171"/>
      <c r="E40" s="171"/>
      <c r="F40" s="171"/>
      <c r="G40" s="171"/>
      <c r="H40" s="171"/>
      <c r="I40" s="171"/>
      <c r="J40" s="171"/>
      <c r="K40" s="171"/>
      <c r="L40" s="171"/>
      <c r="M40" s="171"/>
      <c r="N40" s="171"/>
      <c r="O40" s="171"/>
      <c r="P40" s="171"/>
      <c r="Q40" s="171"/>
      <c r="R40" s="171"/>
    </row>
    <row r="41" spans="1:18" ht="15" x14ac:dyDescent="0.15">
      <c r="A41" s="176"/>
      <c r="B41" s="171"/>
      <c r="C41" s="171"/>
      <c r="D41" s="171"/>
      <c r="E41" s="171"/>
      <c r="F41" s="171"/>
      <c r="G41" s="171"/>
      <c r="H41" s="171"/>
      <c r="I41" s="171"/>
      <c r="J41" s="171"/>
      <c r="K41" s="171"/>
      <c r="L41" s="171"/>
      <c r="M41" s="171"/>
      <c r="N41" s="171"/>
      <c r="O41" s="171"/>
      <c r="P41" s="171"/>
      <c r="Q41" s="171"/>
      <c r="R41" s="171"/>
    </row>
    <row r="42" spans="1:18" ht="15" x14ac:dyDescent="0.15">
      <c r="A42" s="178" t="s">
        <v>95</v>
      </c>
      <c r="B42" s="171"/>
      <c r="C42" s="171"/>
      <c r="D42" s="171"/>
      <c r="E42" s="171"/>
      <c r="F42" s="171"/>
      <c r="G42" s="171"/>
      <c r="H42" s="171"/>
      <c r="I42" s="171"/>
      <c r="J42" s="171"/>
      <c r="K42" s="171"/>
      <c r="L42" s="171"/>
      <c r="M42" s="171"/>
      <c r="N42" s="171"/>
      <c r="O42" s="171"/>
      <c r="P42" s="171"/>
      <c r="Q42" s="171"/>
      <c r="R42" s="171"/>
    </row>
    <row r="43" spans="1:18" x14ac:dyDescent="0.15">
      <c r="A43" s="171"/>
      <c r="B43" s="171"/>
      <c r="C43" s="171"/>
      <c r="D43" s="171"/>
      <c r="E43" s="171"/>
      <c r="F43" s="171"/>
      <c r="G43" s="171"/>
      <c r="H43" s="171"/>
      <c r="I43" s="171"/>
      <c r="J43" s="171"/>
      <c r="K43" s="171"/>
      <c r="L43" s="171"/>
      <c r="M43" s="171"/>
      <c r="N43" s="171"/>
      <c r="O43" s="171"/>
      <c r="P43" s="171"/>
      <c r="Q43" s="171"/>
      <c r="R43" s="171"/>
    </row>
    <row r="44" spans="1:18" x14ac:dyDescent="0.15">
      <c r="A44" s="171"/>
      <c r="B44" s="171"/>
      <c r="C44" s="171"/>
      <c r="D44" s="171"/>
      <c r="E44" s="171"/>
      <c r="F44" s="171"/>
      <c r="G44" s="171"/>
      <c r="H44" s="171"/>
      <c r="I44" s="171"/>
      <c r="J44" s="171"/>
      <c r="K44" s="171"/>
      <c r="L44" s="171"/>
      <c r="M44" s="171"/>
      <c r="N44" s="171"/>
      <c r="O44" s="171"/>
      <c r="P44" s="171"/>
      <c r="Q44" s="171"/>
      <c r="R44" s="171"/>
    </row>
    <row r="45" spans="1:18" x14ac:dyDescent="0.15">
      <c r="A45" s="171"/>
      <c r="B45" s="171"/>
      <c r="C45" s="171"/>
      <c r="D45" s="171"/>
      <c r="E45" s="171"/>
      <c r="F45" s="171"/>
      <c r="G45" s="171"/>
      <c r="H45" s="171"/>
      <c r="I45" s="171"/>
      <c r="J45" s="171"/>
      <c r="K45" s="171"/>
      <c r="L45" s="171"/>
      <c r="M45" s="171"/>
      <c r="N45" s="171"/>
      <c r="O45" s="171"/>
      <c r="P45" s="171"/>
      <c r="Q45" s="171"/>
      <c r="R45" s="171"/>
    </row>
    <row r="46" spans="1:18" x14ac:dyDescent="0.15">
      <c r="A46" s="171"/>
      <c r="B46" s="171"/>
      <c r="C46" s="171"/>
      <c r="D46" s="171"/>
      <c r="E46" s="171"/>
      <c r="F46" s="171"/>
      <c r="G46" s="171"/>
      <c r="H46" s="171"/>
      <c r="I46" s="171"/>
      <c r="J46" s="171"/>
      <c r="K46" s="171"/>
      <c r="L46" s="171"/>
      <c r="M46" s="171"/>
      <c r="N46" s="171"/>
      <c r="O46" s="171"/>
      <c r="P46" s="171"/>
      <c r="Q46" s="171"/>
      <c r="R46" s="171"/>
    </row>
    <row r="47" spans="1:18" x14ac:dyDescent="0.15">
      <c r="A47" s="171"/>
      <c r="B47" s="171"/>
      <c r="C47" s="171"/>
      <c r="D47" s="171"/>
      <c r="E47" s="171"/>
      <c r="F47" s="171"/>
      <c r="G47" s="171"/>
      <c r="H47" s="171"/>
      <c r="I47" s="171"/>
      <c r="J47" s="171"/>
      <c r="K47" s="171"/>
      <c r="L47" s="171"/>
      <c r="M47" s="171"/>
      <c r="N47" s="171"/>
      <c r="O47" s="171"/>
      <c r="P47" s="171"/>
      <c r="Q47" s="171"/>
      <c r="R47" s="171"/>
    </row>
    <row r="48" spans="1:18" x14ac:dyDescent="0.15">
      <c r="A48" s="171"/>
      <c r="B48" s="171"/>
      <c r="C48" s="171"/>
      <c r="D48" s="171"/>
      <c r="E48" s="171"/>
      <c r="F48" s="171"/>
      <c r="G48" s="171"/>
      <c r="H48" s="171"/>
      <c r="I48" s="171"/>
      <c r="J48" s="171"/>
      <c r="K48" s="171"/>
      <c r="L48" s="171"/>
      <c r="M48" s="171"/>
      <c r="N48" s="171"/>
      <c r="O48" s="171"/>
      <c r="P48" s="171"/>
      <c r="Q48" s="171"/>
      <c r="R48" s="171"/>
    </row>
    <row r="49" spans="1:18" x14ac:dyDescent="0.15">
      <c r="A49" s="171"/>
      <c r="B49" s="171"/>
      <c r="C49" s="171"/>
      <c r="D49" s="171"/>
      <c r="E49" s="171"/>
      <c r="F49" s="171"/>
      <c r="G49" s="171"/>
      <c r="H49" s="171"/>
      <c r="I49" s="171"/>
      <c r="J49" s="171"/>
      <c r="K49" s="171"/>
      <c r="L49" s="171"/>
      <c r="M49" s="171"/>
      <c r="N49" s="171"/>
      <c r="O49" s="171"/>
      <c r="P49" s="171"/>
      <c r="Q49" s="171"/>
      <c r="R49" s="171"/>
    </row>
    <row r="50" spans="1:18" x14ac:dyDescent="0.15">
      <c r="A50" s="171"/>
      <c r="B50" s="171"/>
      <c r="C50" s="171"/>
      <c r="D50" s="171"/>
      <c r="E50" s="171"/>
      <c r="F50" s="171"/>
      <c r="G50" s="171"/>
      <c r="H50" s="171"/>
      <c r="I50" s="171"/>
      <c r="J50" s="171"/>
      <c r="K50" s="171"/>
      <c r="L50" s="171"/>
      <c r="M50" s="171"/>
      <c r="N50" s="171"/>
      <c r="O50" s="171"/>
      <c r="P50" s="171"/>
      <c r="Q50" s="171"/>
      <c r="R50" s="171"/>
    </row>
    <row r="51" spans="1:18" x14ac:dyDescent="0.15">
      <c r="A51" s="171"/>
      <c r="B51" s="171"/>
      <c r="C51" s="171"/>
      <c r="D51" s="171"/>
      <c r="E51" s="171"/>
      <c r="F51" s="171"/>
      <c r="G51" s="171"/>
      <c r="H51" s="171"/>
      <c r="I51" s="171"/>
      <c r="J51" s="171"/>
      <c r="K51" s="171"/>
      <c r="L51" s="171"/>
      <c r="M51" s="171"/>
      <c r="N51" s="171"/>
      <c r="O51" s="171"/>
      <c r="P51" s="171"/>
      <c r="Q51" s="171"/>
      <c r="R51" s="171"/>
    </row>
    <row r="52" spans="1:18" x14ac:dyDescent="0.15">
      <c r="A52" s="171"/>
      <c r="B52" s="171"/>
      <c r="C52" s="171"/>
      <c r="D52" s="171"/>
      <c r="E52" s="171"/>
      <c r="F52" s="171"/>
      <c r="G52" s="171"/>
      <c r="H52" s="171"/>
      <c r="I52" s="171"/>
      <c r="J52" s="171"/>
      <c r="K52" s="171"/>
      <c r="L52" s="171"/>
      <c r="M52" s="171"/>
      <c r="N52" s="171"/>
      <c r="O52" s="171"/>
      <c r="P52" s="171"/>
      <c r="Q52" s="171"/>
      <c r="R52" s="171"/>
    </row>
    <row r="53" spans="1:18" x14ac:dyDescent="0.15">
      <c r="A53" s="171"/>
      <c r="B53" s="171"/>
      <c r="C53" s="171"/>
      <c r="D53" s="171"/>
      <c r="E53" s="171"/>
      <c r="F53" s="171"/>
      <c r="G53" s="171"/>
      <c r="H53" s="171"/>
      <c r="I53" s="171"/>
      <c r="J53" s="171"/>
      <c r="K53" s="171"/>
      <c r="L53" s="171"/>
      <c r="M53" s="171"/>
      <c r="N53" s="171"/>
      <c r="O53" s="171"/>
      <c r="P53" s="171"/>
      <c r="Q53" s="171"/>
      <c r="R53" s="171"/>
    </row>
    <row r="54" spans="1:18" x14ac:dyDescent="0.15">
      <c r="A54" s="171"/>
      <c r="B54" s="171"/>
      <c r="C54" s="171"/>
      <c r="D54" s="171"/>
      <c r="E54" s="171"/>
      <c r="F54" s="171"/>
      <c r="G54" s="171"/>
      <c r="H54" s="171"/>
      <c r="I54" s="171"/>
      <c r="J54" s="171"/>
      <c r="K54" s="171"/>
      <c r="L54" s="171"/>
      <c r="M54" s="171"/>
      <c r="N54" s="171"/>
      <c r="O54" s="171"/>
      <c r="P54" s="171"/>
      <c r="Q54" s="171"/>
      <c r="R54" s="171"/>
    </row>
    <row r="55" spans="1:18" x14ac:dyDescent="0.15">
      <c r="A55" s="171"/>
      <c r="B55" s="171"/>
      <c r="C55" s="171"/>
      <c r="D55" s="171"/>
      <c r="E55" s="171"/>
      <c r="F55" s="171"/>
      <c r="G55" s="171"/>
      <c r="H55" s="171"/>
      <c r="I55" s="171"/>
      <c r="J55" s="171"/>
      <c r="K55" s="171"/>
      <c r="L55" s="171"/>
      <c r="M55" s="171"/>
      <c r="N55" s="171"/>
      <c r="O55" s="171"/>
      <c r="P55" s="171"/>
      <c r="Q55" s="171"/>
      <c r="R55" s="171"/>
    </row>
    <row r="56" spans="1:18" x14ac:dyDescent="0.15">
      <c r="A56" s="171"/>
      <c r="B56" s="171"/>
      <c r="C56" s="171"/>
      <c r="D56" s="171"/>
      <c r="E56" s="171"/>
      <c r="F56" s="171"/>
      <c r="G56" s="171"/>
      <c r="H56" s="171"/>
      <c r="I56" s="171"/>
      <c r="J56" s="171"/>
      <c r="K56" s="171"/>
      <c r="L56" s="171"/>
      <c r="M56" s="171"/>
      <c r="N56" s="171"/>
      <c r="O56" s="171"/>
      <c r="P56" s="171"/>
      <c r="Q56" s="171"/>
      <c r="R56" s="171"/>
    </row>
    <row r="57" spans="1:18" x14ac:dyDescent="0.15">
      <c r="A57" s="171"/>
      <c r="B57" s="171"/>
      <c r="C57" s="171"/>
      <c r="D57" s="171"/>
      <c r="E57" s="171"/>
      <c r="F57" s="171"/>
      <c r="G57" s="171"/>
      <c r="H57" s="171"/>
      <c r="I57" s="171"/>
      <c r="J57" s="171"/>
      <c r="K57" s="171"/>
      <c r="L57" s="171"/>
      <c r="M57" s="171"/>
      <c r="N57" s="171"/>
      <c r="O57" s="171"/>
      <c r="P57" s="171"/>
      <c r="Q57" s="171"/>
      <c r="R57" s="171"/>
    </row>
    <row r="58" spans="1:18" x14ac:dyDescent="0.15">
      <c r="A58" s="171"/>
      <c r="B58" s="171"/>
      <c r="C58" s="171"/>
      <c r="D58" s="171"/>
      <c r="E58" s="171"/>
      <c r="F58" s="171"/>
      <c r="G58" s="171"/>
      <c r="H58" s="171"/>
      <c r="I58" s="171"/>
      <c r="J58" s="171"/>
      <c r="K58" s="171"/>
      <c r="L58" s="171"/>
      <c r="M58" s="171"/>
      <c r="N58" s="171"/>
      <c r="O58" s="171"/>
      <c r="P58" s="171"/>
      <c r="Q58" s="171"/>
      <c r="R58" s="171"/>
    </row>
    <row r="59" spans="1:18" x14ac:dyDescent="0.15">
      <c r="A59" s="171"/>
      <c r="B59" s="171"/>
      <c r="C59" s="171"/>
      <c r="D59" s="171"/>
      <c r="E59" s="171"/>
      <c r="F59" s="171"/>
      <c r="G59" s="171"/>
      <c r="H59" s="171"/>
      <c r="I59" s="171"/>
      <c r="J59" s="171"/>
      <c r="K59" s="171"/>
      <c r="L59" s="171"/>
      <c r="M59" s="171"/>
      <c r="N59" s="171"/>
      <c r="O59" s="171"/>
      <c r="P59" s="171"/>
      <c r="Q59" s="171"/>
      <c r="R59" s="171"/>
    </row>
    <row r="60" spans="1:18" x14ac:dyDescent="0.15">
      <c r="A60" s="171"/>
      <c r="B60" s="171"/>
      <c r="C60" s="171"/>
      <c r="D60" s="171"/>
      <c r="E60" s="171"/>
      <c r="F60" s="171"/>
      <c r="G60" s="171"/>
      <c r="H60" s="171"/>
      <c r="I60" s="171"/>
      <c r="J60" s="171"/>
      <c r="K60" s="171"/>
      <c r="L60" s="171"/>
      <c r="M60" s="171"/>
      <c r="N60" s="171"/>
      <c r="O60" s="171"/>
      <c r="P60" s="171"/>
      <c r="Q60" s="171"/>
      <c r="R60" s="171"/>
    </row>
    <row r="61" spans="1:18" x14ac:dyDescent="0.15">
      <c r="A61" s="171"/>
      <c r="B61" s="171"/>
      <c r="C61" s="171"/>
      <c r="D61" s="171"/>
      <c r="E61" s="171"/>
      <c r="F61" s="171"/>
      <c r="G61" s="171"/>
      <c r="H61" s="171"/>
      <c r="I61" s="171"/>
      <c r="J61" s="171"/>
      <c r="K61" s="171"/>
      <c r="L61" s="171"/>
      <c r="M61" s="171"/>
      <c r="N61" s="171"/>
      <c r="O61" s="171"/>
      <c r="P61" s="171"/>
      <c r="Q61" s="171"/>
      <c r="R61" s="171"/>
    </row>
    <row r="62" spans="1:18" x14ac:dyDescent="0.15">
      <c r="A62" s="171"/>
      <c r="B62" s="171"/>
      <c r="C62" s="171"/>
      <c r="D62" s="171"/>
      <c r="E62" s="171"/>
      <c r="F62" s="171"/>
      <c r="G62" s="171"/>
      <c r="H62" s="171"/>
      <c r="I62" s="171"/>
      <c r="J62" s="171"/>
      <c r="K62" s="171"/>
      <c r="L62" s="171"/>
      <c r="M62" s="171"/>
      <c r="N62" s="171"/>
      <c r="O62" s="171"/>
      <c r="P62" s="171"/>
      <c r="Q62" s="171"/>
      <c r="R62" s="171"/>
    </row>
    <row r="63" spans="1:18" x14ac:dyDescent="0.15">
      <c r="A63" s="171"/>
      <c r="B63" s="171"/>
      <c r="C63" s="171"/>
      <c r="D63" s="171"/>
      <c r="E63" s="171"/>
      <c r="F63" s="171"/>
      <c r="G63" s="171"/>
      <c r="H63" s="171"/>
      <c r="I63" s="171"/>
      <c r="J63" s="171"/>
      <c r="K63" s="171"/>
      <c r="L63" s="171"/>
      <c r="M63" s="171"/>
      <c r="N63" s="171"/>
      <c r="O63" s="171"/>
      <c r="P63" s="171"/>
      <c r="Q63" s="171"/>
      <c r="R63" s="171"/>
    </row>
    <row r="64" spans="1:18" x14ac:dyDescent="0.15">
      <c r="A64" s="171"/>
      <c r="B64" s="171"/>
      <c r="C64" s="171"/>
      <c r="D64" s="171"/>
      <c r="E64" s="171"/>
      <c r="F64" s="171"/>
      <c r="G64" s="171"/>
      <c r="H64" s="171"/>
      <c r="I64" s="171"/>
      <c r="J64" s="171"/>
      <c r="K64" s="171"/>
      <c r="L64" s="171"/>
      <c r="M64" s="171"/>
      <c r="N64" s="171"/>
      <c r="O64" s="171"/>
      <c r="P64" s="171"/>
      <c r="Q64" s="171"/>
      <c r="R64" s="171"/>
    </row>
    <row r="65" spans="1:18" x14ac:dyDescent="0.15">
      <c r="A65" s="171"/>
      <c r="B65" s="171"/>
      <c r="C65" s="171"/>
      <c r="D65" s="171"/>
      <c r="E65" s="171"/>
      <c r="F65" s="171"/>
      <c r="G65" s="171"/>
      <c r="H65" s="171"/>
      <c r="I65" s="171"/>
      <c r="J65" s="171"/>
      <c r="K65" s="171"/>
      <c r="L65" s="171"/>
      <c r="M65" s="171"/>
      <c r="N65" s="171"/>
      <c r="O65" s="171"/>
      <c r="P65" s="171"/>
      <c r="Q65" s="171"/>
      <c r="R65" s="171"/>
    </row>
    <row r="66" spans="1:18" x14ac:dyDescent="0.15">
      <c r="A66" s="171"/>
      <c r="B66" s="171"/>
      <c r="C66" s="171"/>
      <c r="D66" s="171"/>
      <c r="E66" s="171"/>
      <c r="F66" s="171"/>
      <c r="G66" s="171"/>
      <c r="H66" s="171"/>
      <c r="I66" s="171"/>
      <c r="J66" s="171"/>
      <c r="K66" s="171"/>
      <c r="L66" s="171"/>
      <c r="M66" s="171"/>
      <c r="N66" s="171"/>
      <c r="O66" s="171"/>
      <c r="P66" s="171"/>
      <c r="Q66" s="171"/>
      <c r="R66" s="171"/>
    </row>
    <row r="67" spans="1:18" x14ac:dyDescent="0.15">
      <c r="A67" s="171"/>
      <c r="B67" s="171"/>
      <c r="C67" s="171"/>
      <c r="D67" s="171"/>
      <c r="E67" s="171"/>
      <c r="F67" s="171"/>
      <c r="G67" s="171"/>
      <c r="H67" s="171"/>
      <c r="I67" s="171"/>
      <c r="J67" s="171"/>
      <c r="K67" s="171"/>
      <c r="L67" s="171"/>
      <c r="M67" s="171"/>
      <c r="N67" s="171"/>
      <c r="O67" s="171"/>
      <c r="P67" s="171"/>
      <c r="Q67" s="171"/>
      <c r="R67" s="171"/>
    </row>
    <row r="68" spans="1:18" x14ac:dyDescent="0.15">
      <c r="A68" s="171"/>
      <c r="B68" s="171"/>
      <c r="C68" s="171"/>
      <c r="D68" s="171"/>
      <c r="E68" s="171"/>
      <c r="F68" s="171"/>
      <c r="G68" s="171"/>
      <c r="H68" s="171"/>
      <c r="I68" s="171"/>
      <c r="J68" s="171"/>
      <c r="K68" s="171"/>
      <c r="L68" s="171"/>
      <c r="M68" s="171"/>
      <c r="N68" s="171"/>
      <c r="O68" s="171"/>
      <c r="P68" s="171"/>
      <c r="Q68" s="171"/>
      <c r="R68" s="171"/>
    </row>
    <row r="69" spans="1:18" x14ac:dyDescent="0.15">
      <c r="A69" s="171"/>
      <c r="B69" s="171"/>
      <c r="C69" s="171"/>
      <c r="D69" s="171"/>
      <c r="E69" s="171"/>
      <c r="F69" s="171"/>
      <c r="G69" s="171"/>
      <c r="H69" s="171"/>
      <c r="I69" s="171"/>
      <c r="J69" s="171"/>
      <c r="K69" s="171"/>
      <c r="L69" s="171"/>
      <c r="M69" s="171"/>
      <c r="N69" s="171"/>
      <c r="O69" s="171"/>
      <c r="P69" s="171"/>
      <c r="Q69" s="171"/>
      <c r="R69" s="171"/>
    </row>
    <row r="70" spans="1:18" x14ac:dyDescent="0.15">
      <c r="A70" s="171"/>
      <c r="B70" s="171"/>
      <c r="C70" s="171"/>
      <c r="D70" s="171"/>
      <c r="E70" s="171"/>
      <c r="F70" s="171"/>
      <c r="G70" s="171"/>
      <c r="H70" s="171"/>
      <c r="I70" s="171"/>
      <c r="J70" s="171"/>
      <c r="K70" s="171"/>
      <c r="L70" s="171"/>
      <c r="M70" s="171"/>
      <c r="N70" s="171"/>
      <c r="O70" s="171"/>
      <c r="P70" s="171"/>
      <c r="Q70" s="171"/>
      <c r="R70" s="171"/>
    </row>
    <row r="71" spans="1:18" x14ac:dyDescent="0.15">
      <c r="A71" s="171"/>
      <c r="B71" s="171"/>
      <c r="C71" s="171"/>
      <c r="D71" s="171"/>
      <c r="E71" s="171"/>
      <c r="F71" s="171"/>
      <c r="G71" s="171"/>
      <c r="H71" s="171"/>
      <c r="I71" s="171"/>
      <c r="J71" s="171"/>
      <c r="K71" s="171"/>
      <c r="L71" s="171"/>
      <c r="M71" s="171"/>
      <c r="N71" s="171"/>
      <c r="O71" s="171"/>
      <c r="P71" s="171"/>
      <c r="Q71" s="171"/>
      <c r="R71" s="171"/>
    </row>
    <row r="72" spans="1:18" x14ac:dyDescent="0.15">
      <c r="A72" s="171"/>
      <c r="B72" s="171"/>
      <c r="C72" s="171"/>
      <c r="D72" s="171"/>
      <c r="E72" s="171"/>
      <c r="F72" s="171"/>
      <c r="G72" s="171"/>
      <c r="H72" s="171"/>
      <c r="I72" s="171"/>
      <c r="J72" s="171"/>
      <c r="K72" s="171"/>
      <c r="L72" s="171"/>
      <c r="M72" s="171"/>
      <c r="N72" s="171"/>
      <c r="O72" s="171"/>
      <c r="P72" s="171"/>
      <c r="Q72" s="171"/>
      <c r="R72" s="171"/>
    </row>
    <row r="73" spans="1:18" x14ac:dyDescent="0.15">
      <c r="A73" s="171"/>
      <c r="B73" s="171"/>
      <c r="C73" s="171"/>
      <c r="D73" s="171"/>
      <c r="E73" s="171"/>
      <c r="F73" s="171"/>
      <c r="G73" s="171"/>
      <c r="H73" s="171"/>
      <c r="I73" s="171"/>
      <c r="J73" s="171"/>
      <c r="K73" s="171"/>
      <c r="L73" s="171"/>
      <c r="M73" s="171"/>
      <c r="N73" s="171"/>
      <c r="O73" s="171"/>
      <c r="P73" s="171"/>
      <c r="Q73" s="171"/>
      <c r="R73" s="171"/>
    </row>
    <row r="74" spans="1:18" x14ac:dyDescent="0.15">
      <c r="A74" s="171"/>
      <c r="B74" s="171"/>
      <c r="C74" s="171"/>
      <c r="D74" s="171"/>
      <c r="E74" s="171"/>
      <c r="F74" s="171"/>
      <c r="G74" s="171"/>
      <c r="H74" s="171"/>
      <c r="I74" s="171"/>
      <c r="J74" s="171"/>
      <c r="K74" s="171"/>
      <c r="L74" s="171"/>
      <c r="M74" s="171"/>
      <c r="N74" s="171"/>
      <c r="O74" s="171"/>
      <c r="P74" s="171"/>
      <c r="Q74" s="171"/>
      <c r="R74" s="171"/>
    </row>
    <row r="75" spans="1:18" x14ac:dyDescent="0.15">
      <c r="A75" s="171"/>
      <c r="B75" s="171"/>
      <c r="C75" s="171"/>
      <c r="D75" s="171"/>
      <c r="E75" s="171"/>
      <c r="F75" s="171"/>
      <c r="G75" s="171"/>
      <c r="H75" s="171"/>
      <c r="I75" s="171"/>
      <c r="J75" s="171"/>
      <c r="K75" s="171"/>
      <c r="L75" s="171"/>
      <c r="M75" s="171"/>
      <c r="N75" s="171"/>
      <c r="O75" s="171"/>
      <c r="P75" s="171"/>
      <c r="Q75" s="171"/>
      <c r="R75" s="171"/>
    </row>
    <row r="76" spans="1:18" x14ac:dyDescent="0.15">
      <c r="A76" s="171"/>
      <c r="B76" s="171"/>
      <c r="C76" s="171"/>
      <c r="D76" s="171"/>
      <c r="E76" s="171"/>
      <c r="F76" s="171"/>
      <c r="G76" s="171"/>
      <c r="H76" s="171"/>
      <c r="I76" s="171"/>
      <c r="J76" s="171"/>
      <c r="K76" s="171"/>
      <c r="L76" s="171"/>
      <c r="M76" s="171"/>
      <c r="N76" s="171"/>
      <c r="O76" s="171"/>
      <c r="P76" s="171"/>
      <c r="Q76" s="171"/>
      <c r="R76" s="171"/>
    </row>
    <row r="77" spans="1:18" x14ac:dyDescent="0.15">
      <c r="A77" s="171"/>
      <c r="B77" s="171"/>
      <c r="C77" s="171"/>
      <c r="D77" s="171"/>
      <c r="E77" s="171"/>
      <c r="F77" s="171"/>
      <c r="G77" s="171"/>
      <c r="H77" s="171"/>
      <c r="I77" s="171"/>
      <c r="J77" s="171"/>
      <c r="K77" s="171"/>
      <c r="L77" s="171"/>
      <c r="M77" s="171"/>
      <c r="N77" s="171"/>
      <c r="O77" s="171"/>
      <c r="P77" s="171"/>
      <c r="Q77" s="171"/>
      <c r="R77" s="171"/>
    </row>
    <row r="78" spans="1:18" x14ac:dyDescent="0.15">
      <c r="A78" s="171"/>
      <c r="B78" s="171"/>
      <c r="C78" s="171"/>
      <c r="D78" s="171"/>
      <c r="E78" s="171"/>
      <c r="F78" s="171"/>
      <c r="G78" s="171"/>
      <c r="H78" s="171"/>
      <c r="I78" s="171"/>
      <c r="J78" s="171"/>
      <c r="K78" s="171"/>
      <c r="L78" s="171"/>
      <c r="M78" s="171"/>
      <c r="N78" s="171"/>
      <c r="O78" s="171"/>
      <c r="P78" s="171"/>
      <c r="Q78" s="171"/>
      <c r="R78" s="171"/>
    </row>
    <row r="79" spans="1:18" x14ac:dyDescent="0.15">
      <c r="A79" s="171"/>
      <c r="B79" s="171"/>
      <c r="C79" s="171"/>
      <c r="D79" s="171"/>
      <c r="E79" s="171"/>
      <c r="F79" s="171"/>
      <c r="G79" s="171"/>
      <c r="H79" s="171"/>
      <c r="I79" s="171"/>
      <c r="J79" s="171"/>
      <c r="K79" s="171"/>
      <c r="L79" s="171"/>
      <c r="M79" s="171"/>
      <c r="N79" s="171"/>
      <c r="O79" s="171"/>
      <c r="P79" s="171"/>
      <c r="Q79" s="171"/>
      <c r="R79" s="171"/>
    </row>
    <row r="80" spans="1:18" x14ac:dyDescent="0.15">
      <c r="A80" s="171"/>
      <c r="B80" s="171"/>
      <c r="C80" s="171"/>
      <c r="D80" s="171"/>
      <c r="E80" s="171"/>
      <c r="F80" s="171"/>
      <c r="G80" s="171"/>
      <c r="H80" s="171"/>
      <c r="I80" s="171"/>
      <c r="J80" s="171"/>
      <c r="K80" s="171"/>
      <c r="L80" s="171"/>
      <c r="M80" s="171"/>
      <c r="N80" s="171"/>
      <c r="O80" s="171"/>
      <c r="P80" s="171"/>
      <c r="Q80" s="171"/>
      <c r="R80" s="171"/>
    </row>
    <row r="81" spans="1:18" x14ac:dyDescent="0.15">
      <c r="A81" s="171"/>
      <c r="B81" s="171"/>
      <c r="C81" s="171"/>
      <c r="D81" s="171"/>
      <c r="E81" s="171"/>
      <c r="F81" s="171"/>
      <c r="G81" s="171"/>
      <c r="H81" s="171"/>
      <c r="I81" s="171"/>
      <c r="J81" s="171"/>
      <c r="K81" s="171"/>
      <c r="L81" s="171"/>
      <c r="M81" s="171"/>
      <c r="N81" s="171"/>
      <c r="O81" s="171"/>
      <c r="P81" s="171"/>
      <c r="Q81" s="171"/>
      <c r="R81" s="171"/>
    </row>
    <row r="82" spans="1:18" x14ac:dyDescent="0.15">
      <c r="A82" s="171"/>
      <c r="B82" s="171"/>
      <c r="C82" s="171"/>
      <c r="D82" s="171"/>
      <c r="E82" s="171"/>
      <c r="F82" s="171"/>
      <c r="G82" s="171"/>
      <c r="H82" s="171"/>
      <c r="I82" s="171"/>
      <c r="J82" s="171"/>
      <c r="K82" s="171"/>
      <c r="L82" s="171"/>
      <c r="M82" s="171"/>
      <c r="N82" s="171"/>
      <c r="O82" s="171"/>
      <c r="P82" s="171"/>
      <c r="Q82" s="171"/>
      <c r="R82" s="171"/>
    </row>
    <row r="83" spans="1:18" x14ac:dyDescent="0.15">
      <c r="A83" s="171"/>
      <c r="B83" s="171"/>
      <c r="C83" s="171"/>
      <c r="D83" s="171"/>
      <c r="E83" s="171"/>
      <c r="F83" s="171"/>
      <c r="G83" s="171"/>
      <c r="H83" s="171"/>
      <c r="I83" s="171"/>
      <c r="J83" s="171"/>
      <c r="K83" s="171"/>
      <c r="L83" s="171"/>
      <c r="M83" s="171"/>
      <c r="N83" s="171"/>
      <c r="O83" s="171"/>
      <c r="P83" s="171"/>
      <c r="Q83" s="171"/>
      <c r="R83" s="171"/>
    </row>
    <row r="84" spans="1:18" x14ac:dyDescent="0.15">
      <c r="A84" s="171"/>
      <c r="B84" s="171"/>
      <c r="C84" s="171"/>
      <c r="D84" s="171"/>
      <c r="E84" s="171"/>
      <c r="F84" s="171"/>
      <c r="G84" s="171"/>
      <c r="H84" s="171"/>
      <c r="I84" s="171"/>
      <c r="J84" s="171"/>
      <c r="K84" s="171"/>
      <c r="L84" s="171"/>
      <c r="M84" s="171"/>
      <c r="N84" s="171"/>
      <c r="O84" s="171"/>
      <c r="P84" s="171"/>
      <c r="Q84" s="171"/>
      <c r="R84" s="171"/>
    </row>
    <row r="85" spans="1:18" x14ac:dyDescent="0.15">
      <c r="A85" s="171"/>
      <c r="B85" s="171"/>
      <c r="C85" s="171"/>
      <c r="D85" s="171"/>
      <c r="E85" s="171"/>
      <c r="F85" s="171"/>
      <c r="G85" s="171"/>
      <c r="H85" s="171"/>
      <c r="I85" s="171"/>
      <c r="J85" s="171"/>
      <c r="K85" s="171"/>
      <c r="L85" s="171"/>
      <c r="M85" s="171"/>
      <c r="N85" s="171"/>
      <c r="O85" s="171"/>
      <c r="P85" s="171"/>
      <c r="Q85" s="171"/>
      <c r="R85" s="171"/>
    </row>
    <row r="86" spans="1:18" x14ac:dyDescent="0.15">
      <c r="A86" s="171"/>
      <c r="B86" s="171"/>
      <c r="C86" s="171"/>
      <c r="D86" s="171"/>
      <c r="E86" s="171"/>
      <c r="F86" s="171"/>
      <c r="G86" s="171"/>
      <c r="H86" s="171"/>
      <c r="I86" s="171"/>
      <c r="J86" s="171"/>
      <c r="K86" s="171"/>
      <c r="L86" s="171"/>
      <c r="M86" s="171"/>
      <c r="N86" s="171"/>
      <c r="O86" s="171"/>
      <c r="P86" s="171"/>
      <c r="Q86" s="171"/>
      <c r="R86" s="171"/>
    </row>
    <row r="87" spans="1:18" x14ac:dyDescent="0.15">
      <c r="A87" s="171"/>
      <c r="B87" s="171"/>
      <c r="C87" s="171"/>
      <c r="D87" s="171"/>
      <c r="E87" s="171"/>
      <c r="F87" s="171"/>
      <c r="G87" s="171"/>
      <c r="H87" s="171"/>
      <c r="I87" s="171"/>
      <c r="J87" s="171"/>
      <c r="K87" s="171"/>
      <c r="L87" s="171"/>
      <c r="M87" s="171"/>
      <c r="N87" s="171"/>
      <c r="O87" s="171"/>
      <c r="P87" s="171"/>
      <c r="Q87" s="171"/>
      <c r="R87" s="171"/>
    </row>
    <row r="88" spans="1:18" x14ac:dyDescent="0.15">
      <c r="A88" s="171"/>
      <c r="B88" s="171"/>
      <c r="C88" s="171"/>
      <c r="D88" s="171"/>
      <c r="E88" s="171"/>
      <c r="F88" s="171"/>
      <c r="G88" s="171"/>
      <c r="H88" s="171"/>
      <c r="I88" s="171"/>
      <c r="J88" s="171"/>
      <c r="K88" s="171"/>
      <c r="L88" s="171"/>
      <c r="M88" s="171"/>
      <c r="N88" s="171"/>
      <c r="O88" s="171"/>
      <c r="P88" s="171"/>
      <c r="Q88" s="171"/>
      <c r="R88" s="171"/>
    </row>
    <row r="89" spans="1:18" x14ac:dyDescent="0.15">
      <c r="A89" s="171"/>
      <c r="B89" s="171"/>
      <c r="C89" s="171"/>
      <c r="D89" s="171"/>
      <c r="E89" s="171"/>
      <c r="F89" s="171"/>
      <c r="G89" s="171"/>
      <c r="H89" s="171"/>
      <c r="I89" s="171"/>
      <c r="J89" s="171"/>
      <c r="K89" s="171"/>
      <c r="L89" s="171"/>
      <c r="M89" s="171"/>
      <c r="N89" s="171"/>
      <c r="O89" s="171"/>
      <c r="P89" s="171"/>
      <c r="Q89" s="171"/>
      <c r="R89" s="171"/>
    </row>
    <row r="90" spans="1:18" x14ac:dyDescent="0.15">
      <c r="A90" s="171"/>
      <c r="B90" s="171"/>
      <c r="C90" s="171"/>
      <c r="D90" s="171"/>
      <c r="E90" s="171"/>
      <c r="F90" s="171"/>
      <c r="G90" s="171"/>
      <c r="H90" s="171"/>
      <c r="I90" s="171"/>
      <c r="J90" s="171"/>
      <c r="K90" s="171"/>
      <c r="L90" s="171"/>
      <c r="M90" s="171"/>
      <c r="N90" s="171"/>
      <c r="O90" s="171"/>
      <c r="P90" s="171"/>
      <c r="Q90" s="171"/>
      <c r="R90" s="171"/>
    </row>
    <row r="91" spans="1:18" x14ac:dyDescent="0.15">
      <c r="A91" s="171"/>
      <c r="B91" s="171"/>
      <c r="C91" s="171"/>
      <c r="D91" s="171"/>
      <c r="E91" s="171"/>
      <c r="F91" s="171"/>
      <c r="G91" s="171"/>
      <c r="H91" s="171"/>
      <c r="I91" s="171"/>
      <c r="J91" s="171"/>
      <c r="K91" s="171"/>
      <c r="L91" s="171"/>
      <c r="M91" s="171"/>
      <c r="N91" s="171"/>
      <c r="O91" s="171"/>
      <c r="P91" s="171"/>
      <c r="Q91" s="171"/>
      <c r="R91" s="171"/>
    </row>
    <row r="92" spans="1:18" x14ac:dyDescent="0.15">
      <c r="A92" s="171"/>
      <c r="B92" s="171"/>
      <c r="C92" s="171"/>
      <c r="D92" s="171"/>
      <c r="E92" s="171"/>
      <c r="F92" s="171"/>
      <c r="G92" s="171"/>
      <c r="H92" s="171"/>
      <c r="I92" s="171"/>
      <c r="J92" s="171"/>
      <c r="K92" s="171"/>
      <c r="L92" s="171"/>
      <c r="M92" s="171"/>
      <c r="N92" s="171"/>
      <c r="O92" s="171"/>
      <c r="P92" s="171"/>
      <c r="Q92" s="171"/>
      <c r="R92" s="171"/>
    </row>
    <row r="93" spans="1:18" x14ac:dyDescent="0.15">
      <c r="A93" s="171"/>
      <c r="B93" s="171"/>
      <c r="C93" s="171"/>
      <c r="D93" s="171"/>
      <c r="E93" s="171"/>
      <c r="F93" s="171"/>
      <c r="G93" s="171"/>
      <c r="H93" s="171"/>
      <c r="I93" s="171"/>
      <c r="J93" s="171"/>
      <c r="K93" s="171"/>
      <c r="L93" s="171"/>
      <c r="M93" s="171"/>
      <c r="N93" s="171"/>
      <c r="O93" s="171"/>
      <c r="P93" s="171"/>
      <c r="Q93" s="171"/>
      <c r="R93" s="171"/>
    </row>
    <row r="94" spans="1:18" x14ac:dyDescent="0.15">
      <c r="A94" s="171"/>
      <c r="B94" s="171"/>
      <c r="C94" s="171"/>
      <c r="D94" s="171"/>
      <c r="E94" s="171"/>
      <c r="F94" s="171"/>
      <c r="G94" s="171"/>
      <c r="H94" s="171"/>
      <c r="I94" s="171"/>
      <c r="J94" s="171"/>
      <c r="K94" s="171"/>
      <c r="L94" s="171"/>
      <c r="M94" s="171"/>
      <c r="N94" s="171"/>
      <c r="O94" s="171"/>
      <c r="P94" s="171"/>
      <c r="Q94" s="171"/>
      <c r="R94" s="171"/>
    </row>
    <row r="95" spans="1:18" x14ac:dyDescent="0.15">
      <c r="A95" s="171"/>
      <c r="B95" s="171"/>
      <c r="C95" s="171"/>
      <c r="D95" s="171"/>
      <c r="E95" s="171"/>
      <c r="F95" s="171"/>
      <c r="G95" s="171"/>
      <c r="H95" s="171"/>
      <c r="I95" s="171"/>
      <c r="J95" s="171"/>
      <c r="K95" s="171"/>
      <c r="L95" s="171"/>
      <c r="M95" s="171"/>
      <c r="N95" s="171"/>
      <c r="O95" s="171"/>
      <c r="P95" s="171"/>
      <c r="Q95" s="171"/>
      <c r="R95" s="171"/>
    </row>
    <row r="96" spans="1:18" x14ac:dyDescent="0.15">
      <c r="A96" s="171"/>
      <c r="B96" s="171"/>
      <c r="C96" s="171"/>
      <c r="D96" s="171"/>
      <c r="E96" s="171"/>
      <c r="F96" s="171"/>
      <c r="G96" s="171"/>
      <c r="H96" s="171"/>
      <c r="I96" s="171"/>
      <c r="J96" s="171"/>
      <c r="K96" s="171"/>
      <c r="L96" s="171"/>
      <c r="M96" s="171"/>
      <c r="N96" s="171"/>
      <c r="O96" s="171"/>
      <c r="P96" s="171"/>
      <c r="Q96" s="171"/>
      <c r="R96" s="171"/>
    </row>
    <row r="97" spans="1:18" x14ac:dyDescent="0.15">
      <c r="A97" s="171"/>
      <c r="B97" s="171"/>
      <c r="C97" s="171"/>
      <c r="D97" s="171"/>
      <c r="E97" s="171"/>
      <c r="F97" s="171"/>
      <c r="G97" s="171"/>
      <c r="H97" s="171"/>
      <c r="I97" s="171"/>
      <c r="J97" s="171"/>
      <c r="K97" s="171"/>
      <c r="L97" s="171"/>
      <c r="M97" s="171"/>
      <c r="N97" s="171"/>
      <c r="O97" s="171"/>
      <c r="P97" s="171"/>
      <c r="Q97" s="171"/>
      <c r="R97" s="171"/>
    </row>
    <row r="98" spans="1:18" x14ac:dyDescent="0.15">
      <c r="A98" s="171"/>
      <c r="B98" s="171"/>
      <c r="C98" s="171"/>
      <c r="D98" s="171"/>
      <c r="E98" s="171"/>
      <c r="F98" s="171"/>
      <c r="G98" s="171"/>
      <c r="H98" s="171"/>
      <c r="I98" s="171"/>
      <c r="J98" s="171"/>
      <c r="K98" s="171"/>
      <c r="L98" s="171"/>
      <c r="M98" s="171"/>
      <c r="N98" s="171"/>
      <c r="O98" s="171"/>
      <c r="P98" s="171"/>
      <c r="Q98" s="171"/>
      <c r="R98" s="171"/>
    </row>
    <row r="99" spans="1:18" x14ac:dyDescent="0.15">
      <c r="A99" s="171"/>
      <c r="B99" s="171"/>
      <c r="C99" s="171"/>
      <c r="D99" s="171"/>
      <c r="E99" s="171"/>
      <c r="F99" s="171"/>
      <c r="G99" s="171"/>
      <c r="H99" s="171"/>
      <c r="I99" s="171"/>
      <c r="J99" s="171"/>
      <c r="K99" s="171"/>
      <c r="L99" s="171"/>
      <c r="M99" s="171"/>
      <c r="N99" s="171"/>
      <c r="O99" s="171"/>
      <c r="P99" s="171"/>
      <c r="Q99" s="171"/>
      <c r="R99" s="171"/>
    </row>
    <row r="100" spans="1:18" x14ac:dyDescent="0.15">
      <c r="A100" s="171"/>
      <c r="B100" s="171"/>
      <c r="C100" s="171"/>
      <c r="D100" s="171"/>
      <c r="E100" s="171"/>
      <c r="F100" s="171"/>
      <c r="G100" s="171"/>
      <c r="H100" s="171"/>
      <c r="I100" s="171"/>
      <c r="J100" s="171"/>
      <c r="K100" s="171"/>
      <c r="L100" s="171"/>
      <c r="M100" s="171"/>
      <c r="N100" s="171"/>
      <c r="O100" s="171"/>
      <c r="P100" s="171"/>
      <c r="Q100" s="171"/>
      <c r="R100" s="171"/>
    </row>
    <row r="101" spans="1:18" x14ac:dyDescent="0.15">
      <c r="A101" s="171"/>
      <c r="B101" s="171"/>
      <c r="C101" s="171"/>
      <c r="D101" s="171"/>
      <c r="E101" s="171"/>
      <c r="F101" s="171"/>
      <c r="G101" s="171"/>
      <c r="H101" s="171"/>
      <c r="I101" s="171"/>
      <c r="J101" s="171"/>
      <c r="K101" s="171"/>
      <c r="L101" s="171"/>
      <c r="M101" s="171"/>
      <c r="N101" s="171"/>
      <c r="O101" s="171"/>
      <c r="P101" s="171"/>
      <c r="Q101" s="171"/>
      <c r="R101" s="171"/>
    </row>
    <row r="102" spans="1:18" x14ac:dyDescent="0.15">
      <c r="A102" s="171"/>
      <c r="B102" s="171"/>
      <c r="C102" s="171"/>
      <c r="D102" s="171"/>
      <c r="E102" s="171"/>
      <c r="F102" s="171"/>
      <c r="G102" s="171"/>
      <c r="H102" s="171"/>
      <c r="I102" s="171"/>
      <c r="J102" s="171"/>
      <c r="K102" s="171"/>
      <c r="L102" s="171"/>
      <c r="M102" s="171"/>
      <c r="N102" s="171"/>
      <c r="O102" s="171"/>
      <c r="P102" s="171"/>
      <c r="Q102" s="171"/>
      <c r="R102" s="171"/>
    </row>
    <row r="103" spans="1:18" x14ac:dyDescent="0.15">
      <c r="A103" s="171"/>
      <c r="B103" s="171"/>
      <c r="C103" s="171"/>
      <c r="D103" s="171"/>
      <c r="E103" s="171"/>
      <c r="F103" s="171"/>
      <c r="G103" s="171"/>
      <c r="H103" s="171"/>
      <c r="I103" s="171"/>
      <c r="J103" s="171"/>
      <c r="K103" s="171"/>
      <c r="L103" s="171"/>
      <c r="M103" s="171"/>
      <c r="N103" s="171"/>
      <c r="O103" s="171"/>
      <c r="P103" s="171"/>
      <c r="Q103" s="171"/>
      <c r="R103" s="171"/>
    </row>
    <row r="104" spans="1:18" x14ac:dyDescent="0.15">
      <c r="A104" s="171"/>
      <c r="B104" s="171"/>
      <c r="C104" s="171"/>
      <c r="D104" s="171"/>
      <c r="E104" s="171"/>
      <c r="F104" s="171"/>
      <c r="G104" s="171"/>
      <c r="H104" s="171"/>
      <c r="I104" s="171"/>
      <c r="J104" s="171"/>
      <c r="K104" s="171"/>
      <c r="L104" s="171"/>
      <c r="M104" s="171"/>
      <c r="N104" s="171"/>
      <c r="O104" s="171"/>
      <c r="P104" s="171"/>
      <c r="Q104" s="171"/>
      <c r="R104" s="171"/>
    </row>
    <row r="105" spans="1:18" x14ac:dyDescent="0.15">
      <c r="A105" s="171"/>
      <c r="B105" s="171"/>
      <c r="C105" s="171"/>
      <c r="D105" s="171"/>
      <c r="E105" s="171"/>
      <c r="F105" s="171"/>
      <c r="G105" s="171"/>
      <c r="H105" s="171"/>
      <c r="I105" s="171"/>
      <c r="J105" s="171"/>
      <c r="K105" s="171"/>
      <c r="L105" s="171"/>
      <c r="M105" s="171"/>
      <c r="N105" s="171"/>
      <c r="O105" s="171"/>
      <c r="P105" s="171"/>
      <c r="Q105" s="171"/>
      <c r="R105" s="171"/>
    </row>
    <row r="106" spans="1:18" x14ac:dyDescent="0.15">
      <c r="A106" s="171"/>
      <c r="B106" s="171"/>
      <c r="C106" s="171"/>
      <c r="D106" s="171"/>
      <c r="E106" s="171"/>
      <c r="F106" s="171"/>
      <c r="G106" s="171"/>
      <c r="H106" s="171"/>
      <c r="I106" s="171"/>
      <c r="J106" s="171"/>
      <c r="K106" s="171"/>
      <c r="L106" s="171"/>
      <c r="M106" s="171"/>
      <c r="N106" s="171"/>
      <c r="O106" s="171"/>
      <c r="P106" s="171"/>
      <c r="Q106" s="171"/>
      <c r="R106" s="171"/>
    </row>
    <row r="107" spans="1:18" x14ac:dyDescent="0.15">
      <c r="A107" s="171"/>
      <c r="B107" s="171"/>
      <c r="C107" s="171"/>
      <c r="D107" s="171"/>
      <c r="E107" s="171"/>
      <c r="F107" s="171"/>
      <c r="G107" s="171"/>
      <c r="H107" s="171"/>
      <c r="I107" s="171"/>
      <c r="J107" s="171"/>
      <c r="K107" s="171"/>
      <c r="L107" s="171"/>
      <c r="M107" s="171"/>
      <c r="N107" s="171"/>
      <c r="O107" s="171"/>
      <c r="P107" s="171"/>
      <c r="Q107" s="171"/>
      <c r="R107" s="171"/>
    </row>
    <row r="108" spans="1:18" x14ac:dyDescent="0.15">
      <c r="A108" s="171"/>
      <c r="B108" s="171"/>
      <c r="C108" s="171"/>
      <c r="D108" s="171"/>
      <c r="E108" s="171"/>
      <c r="F108" s="171"/>
      <c r="G108" s="171"/>
      <c r="H108" s="171"/>
      <c r="I108" s="171"/>
      <c r="J108" s="171"/>
      <c r="K108" s="171"/>
      <c r="L108" s="171"/>
      <c r="M108" s="171"/>
      <c r="N108" s="171"/>
      <c r="O108" s="171"/>
      <c r="P108" s="171"/>
      <c r="Q108" s="171"/>
      <c r="R108" s="171"/>
    </row>
    <row r="109" spans="1:18" x14ac:dyDescent="0.15">
      <c r="A109" s="171"/>
      <c r="B109" s="171"/>
      <c r="C109" s="171"/>
      <c r="D109" s="171"/>
      <c r="E109" s="171"/>
      <c r="F109" s="171"/>
      <c r="G109" s="171"/>
      <c r="H109" s="171"/>
      <c r="I109" s="171"/>
      <c r="J109" s="171"/>
      <c r="K109" s="171"/>
      <c r="L109" s="171"/>
      <c r="M109" s="171"/>
      <c r="N109" s="171"/>
      <c r="O109" s="171"/>
      <c r="P109" s="171"/>
      <c r="Q109" s="171"/>
      <c r="R109" s="171"/>
    </row>
    <row r="110" spans="1:18" x14ac:dyDescent="0.15">
      <c r="A110" s="171"/>
      <c r="B110" s="171"/>
      <c r="C110" s="171"/>
      <c r="D110" s="171"/>
      <c r="E110" s="171"/>
      <c r="F110" s="171"/>
      <c r="G110" s="171"/>
      <c r="H110" s="171"/>
      <c r="I110" s="171"/>
      <c r="J110" s="171"/>
      <c r="K110" s="171"/>
      <c r="L110" s="171"/>
      <c r="M110" s="171"/>
      <c r="N110" s="171"/>
      <c r="O110" s="171"/>
      <c r="P110" s="171"/>
      <c r="Q110" s="171"/>
      <c r="R110" s="171"/>
    </row>
    <row r="111" spans="1:18" x14ac:dyDescent="0.15">
      <c r="A111" s="171"/>
      <c r="B111" s="171"/>
      <c r="C111" s="171"/>
      <c r="D111" s="171"/>
      <c r="E111" s="171"/>
      <c r="F111" s="171"/>
      <c r="G111" s="171"/>
      <c r="H111" s="171"/>
      <c r="I111" s="171"/>
      <c r="J111" s="171"/>
      <c r="K111" s="171"/>
      <c r="L111" s="171"/>
      <c r="M111" s="171"/>
      <c r="N111" s="171"/>
      <c r="O111" s="171"/>
      <c r="P111" s="171"/>
      <c r="Q111" s="171"/>
      <c r="R111" s="171"/>
    </row>
    <row r="112" spans="1:18" x14ac:dyDescent="0.15">
      <c r="A112" s="171"/>
      <c r="B112" s="171"/>
      <c r="C112" s="171"/>
      <c r="D112" s="171"/>
      <c r="E112" s="171"/>
      <c r="F112" s="171"/>
      <c r="G112" s="171"/>
      <c r="H112" s="171"/>
      <c r="I112" s="171"/>
      <c r="J112" s="171"/>
      <c r="K112" s="171"/>
      <c r="L112" s="171"/>
      <c r="M112" s="171"/>
      <c r="N112" s="171"/>
      <c r="O112" s="171"/>
      <c r="P112" s="171"/>
      <c r="Q112" s="171"/>
      <c r="R112" s="171"/>
    </row>
    <row r="113" spans="1:18" x14ac:dyDescent="0.15">
      <c r="A113" s="171"/>
      <c r="B113" s="171"/>
      <c r="C113" s="171"/>
      <c r="D113" s="171"/>
      <c r="E113" s="171"/>
      <c r="F113" s="171"/>
      <c r="G113" s="171"/>
      <c r="H113" s="171"/>
      <c r="I113" s="171"/>
      <c r="J113" s="171"/>
      <c r="K113" s="171"/>
      <c r="L113" s="171"/>
      <c r="M113" s="171"/>
      <c r="N113" s="171"/>
      <c r="O113" s="171"/>
      <c r="P113" s="171"/>
      <c r="Q113" s="171"/>
      <c r="R113" s="171"/>
    </row>
    <row r="114" spans="1:18" x14ac:dyDescent="0.15">
      <c r="A114" s="171"/>
      <c r="B114" s="171"/>
      <c r="C114" s="171"/>
      <c r="D114" s="171"/>
      <c r="E114" s="171"/>
      <c r="F114" s="171"/>
      <c r="G114" s="171"/>
      <c r="H114" s="171"/>
      <c r="I114" s="171"/>
      <c r="J114" s="171"/>
      <c r="K114" s="171"/>
      <c r="L114" s="171"/>
      <c r="M114" s="171"/>
      <c r="N114" s="171"/>
      <c r="O114" s="171"/>
      <c r="P114" s="171"/>
      <c r="Q114" s="171"/>
      <c r="R114" s="171"/>
    </row>
    <row r="115" spans="1:18" x14ac:dyDescent="0.15">
      <c r="A115" s="171"/>
      <c r="B115" s="171"/>
      <c r="C115" s="171"/>
      <c r="D115" s="171"/>
      <c r="E115" s="171"/>
      <c r="F115" s="171"/>
      <c r="G115" s="171"/>
      <c r="H115" s="171"/>
      <c r="I115" s="171"/>
      <c r="J115" s="171"/>
      <c r="K115" s="171"/>
      <c r="L115" s="171"/>
      <c r="M115" s="171"/>
      <c r="N115" s="171"/>
      <c r="O115" s="171"/>
      <c r="P115" s="171"/>
      <c r="Q115" s="171"/>
      <c r="R115" s="171"/>
    </row>
    <row r="116" spans="1:18" x14ac:dyDescent="0.15">
      <c r="A116" s="171"/>
      <c r="B116" s="171"/>
      <c r="C116" s="171"/>
      <c r="D116" s="171"/>
      <c r="E116" s="171"/>
      <c r="F116" s="171"/>
      <c r="G116" s="171"/>
      <c r="H116" s="171"/>
      <c r="I116" s="171"/>
      <c r="J116" s="171"/>
      <c r="K116" s="171"/>
      <c r="L116" s="171"/>
      <c r="M116" s="171"/>
      <c r="N116" s="171"/>
      <c r="O116" s="171"/>
      <c r="P116" s="171"/>
      <c r="Q116" s="171"/>
      <c r="R116" s="171"/>
    </row>
    <row r="117" spans="1:18" x14ac:dyDescent="0.15">
      <c r="A117" s="171"/>
      <c r="B117" s="171"/>
      <c r="C117" s="171"/>
      <c r="D117" s="171"/>
      <c r="E117" s="171"/>
      <c r="F117" s="171"/>
      <c r="G117" s="171"/>
      <c r="H117" s="171"/>
      <c r="I117" s="171"/>
      <c r="J117" s="171"/>
      <c r="K117" s="171"/>
      <c r="L117" s="171"/>
      <c r="M117" s="171"/>
      <c r="N117" s="171"/>
      <c r="O117" s="171"/>
      <c r="P117" s="171"/>
      <c r="Q117" s="171"/>
      <c r="R117" s="171"/>
    </row>
    <row r="118" spans="1:18" x14ac:dyDescent="0.15">
      <c r="A118" s="171"/>
      <c r="B118" s="171"/>
      <c r="C118" s="171"/>
      <c r="D118" s="171"/>
      <c r="E118" s="171"/>
      <c r="F118" s="171"/>
      <c r="G118" s="171"/>
      <c r="H118" s="171"/>
      <c r="I118" s="171"/>
      <c r="J118" s="171"/>
      <c r="K118" s="171"/>
      <c r="L118" s="171"/>
      <c r="M118" s="171"/>
      <c r="N118" s="171"/>
      <c r="O118" s="171"/>
      <c r="P118" s="171"/>
      <c r="Q118" s="171"/>
      <c r="R118" s="171"/>
    </row>
    <row r="119" spans="1:18" x14ac:dyDescent="0.15">
      <c r="A119" s="171"/>
      <c r="B119" s="171"/>
      <c r="C119" s="171"/>
      <c r="D119" s="171"/>
      <c r="E119" s="171"/>
      <c r="F119" s="171"/>
      <c r="G119" s="171"/>
      <c r="H119" s="171"/>
      <c r="I119" s="171"/>
      <c r="J119" s="171"/>
      <c r="K119" s="171"/>
      <c r="L119" s="171"/>
      <c r="M119" s="171"/>
      <c r="N119" s="171"/>
      <c r="O119" s="171"/>
      <c r="P119" s="171"/>
      <c r="Q119" s="171"/>
      <c r="R119" s="171"/>
    </row>
    <row r="120" spans="1:18" x14ac:dyDescent="0.15">
      <c r="A120" s="171"/>
      <c r="B120" s="171"/>
      <c r="C120" s="171"/>
      <c r="D120" s="171"/>
      <c r="E120" s="171"/>
      <c r="F120" s="171"/>
      <c r="G120" s="171"/>
      <c r="H120" s="171"/>
      <c r="I120" s="171"/>
      <c r="J120" s="171"/>
      <c r="K120" s="171"/>
      <c r="L120" s="171"/>
      <c r="M120" s="171"/>
      <c r="N120" s="171"/>
      <c r="O120" s="171"/>
      <c r="P120" s="171"/>
      <c r="Q120" s="171"/>
      <c r="R120" s="171"/>
    </row>
    <row r="121" spans="1:18" x14ac:dyDescent="0.15">
      <c r="A121" s="171"/>
      <c r="B121" s="171"/>
      <c r="C121" s="171"/>
      <c r="D121" s="171"/>
      <c r="E121" s="171"/>
      <c r="F121" s="171"/>
      <c r="G121" s="171"/>
      <c r="H121" s="171"/>
      <c r="I121" s="171"/>
      <c r="J121" s="171"/>
      <c r="K121" s="171"/>
      <c r="L121" s="171"/>
      <c r="M121" s="171"/>
      <c r="N121" s="171"/>
      <c r="O121" s="171"/>
      <c r="P121" s="171"/>
      <c r="Q121" s="171"/>
      <c r="R121" s="171"/>
    </row>
    <row r="122" spans="1:18" x14ac:dyDescent="0.15">
      <c r="A122" s="171"/>
      <c r="B122" s="171"/>
      <c r="C122" s="171"/>
      <c r="D122" s="171"/>
      <c r="E122" s="171"/>
      <c r="F122" s="171"/>
      <c r="G122" s="171"/>
      <c r="H122" s="171"/>
      <c r="I122" s="171"/>
      <c r="J122" s="171"/>
      <c r="K122" s="171"/>
      <c r="L122" s="171"/>
      <c r="M122" s="171"/>
      <c r="N122" s="171"/>
      <c r="O122" s="171"/>
      <c r="P122" s="171"/>
      <c r="Q122" s="171"/>
      <c r="R122" s="171"/>
    </row>
    <row r="123" spans="1:18" x14ac:dyDescent="0.15">
      <c r="A123" s="171"/>
      <c r="B123" s="171"/>
      <c r="C123" s="171"/>
      <c r="D123" s="171"/>
      <c r="E123" s="171"/>
      <c r="F123" s="171"/>
      <c r="G123" s="171"/>
      <c r="H123" s="171"/>
      <c r="I123" s="171"/>
      <c r="J123" s="171"/>
      <c r="K123" s="171"/>
      <c r="L123" s="171"/>
      <c r="M123" s="171"/>
      <c r="N123" s="171"/>
      <c r="O123" s="171"/>
      <c r="P123" s="171"/>
      <c r="Q123" s="171"/>
      <c r="R123" s="171"/>
    </row>
    <row r="124" spans="1:18" x14ac:dyDescent="0.15">
      <c r="A124" s="171"/>
      <c r="B124" s="171"/>
      <c r="C124" s="171"/>
      <c r="D124" s="171"/>
      <c r="E124" s="171"/>
      <c r="F124" s="171"/>
      <c r="G124" s="171"/>
      <c r="H124" s="171"/>
      <c r="I124" s="171"/>
      <c r="J124" s="171"/>
      <c r="K124" s="171"/>
      <c r="L124" s="171"/>
      <c r="M124" s="171"/>
      <c r="N124" s="171"/>
      <c r="O124" s="171"/>
      <c r="P124" s="171"/>
      <c r="Q124" s="171"/>
      <c r="R124" s="171"/>
    </row>
    <row r="125" spans="1:18" x14ac:dyDescent="0.15">
      <c r="A125" s="171"/>
      <c r="B125" s="171"/>
      <c r="C125" s="171"/>
      <c r="D125" s="171"/>
      <c r="E125" s="171"/>
      <c r="F125" s="171"/>
      <c r="G125" s="171"/>
      <c r="H125" s="171"/>
      <c r="I125" s="171"/>
      <c r="J125" s="171"/>
      <c r="K125" s="171"/>
      <c r="L125" s="171"/>
      <c r="M125" s="171"/>
      <c r="N125" s="171"/>
      <c r="O125" s="171"/>
      <c r="P125" s="171"/>
      <c r="Q125" s="171"/>
      <c r="R125" s="171"/>
    </row>
    <row r="126" spans="1:18" x14ac:dyDescent="0.15">
      <c r="A126" s="171"/>
      <c r="B126" s="171"/>
      <c r="C126" s="171"/>
      <c r="D126" s="171"/>
      <c r="E126" s="171"/>
      <c r="F126" s="171"/>
      <c r="G126" s="171"/>
      <c r="H126" s="171"/>
      <c r="I126" s="171"/>
      <c r="J126" s="171"/>
      <c r="K126" s="171"/>
      <c r="L126" s="171"/>
      <c r="M126" s="171"/>
      <c r="N126" s="171"/>
      <c r="O126" s="171"/>
      <c r="P126" s="171"/>
      <c r="Q126" s="171"/>
      <c r="R126" s="171"/>
    </row>
    <row r="127" spans="1:18" x14ac:dyDescent="0.15">
      <c r="A127" s="171"/>
      <c r="B127" s="171"/>
      <c r="C127" s="171"/>
      <c r="D127" s="171"/>
      <c r="E127" s="171"/>
      <c r="F127" s="171"/>
      <c r="G127" s="171"/>
      <c r="H127" s="171"/>
      <c r="I127" s="171"/>
      <c r="J127" s="171"/>
      <c r="K127" s="171"/>
      <c r="L127" s="171"/>
      <c r="M127" s="171"/>
      <c r="N127" s="171"/>
      <c r="O127" s="171"/>
      <c r="P127" s="171"/>
      <c r="Q127" s="171"/>
      <c r="R127" s="171"/>
    </row>
    <row r="128" spans="1:18" x14ac:dyDescent="0.15">
      <c r="A128" s="171"/>
      <c r="B128" s="171"/>
      <c r="C128" s="171"/>
      <c r="D128" s="171"/>
      <c r="E128" s="171"/>
      <c r="F128" s="171"/>
      <c r="G128" s="171"/>
      <c r="H128" s="171"/>
      <c r="I128" s="171"/>
      <c r="J128" s="171"/>
      <c r="K128" s="171"/>
      <c r="L128" s="171"/>
      <c r="M128" s="171"/>
      <c r="N128" s="171"/>
      <c r="O128" s="171"/>
      <c r="P128" s="171"/>
      <c r="Q128" s="171"/>
      <c r="R128" s="171"/>
    </row>
    <row r="129" spans="1:18" x14ac:dyDescent="0.15">
      <c r="A129" s="171"/>
      <c r="B129" s="171"/>
      <c r="C129" s="171"/>
      <c r="D129" s="171"/>
      <c r="E129" s="171"/>
      <c r="F129" s="171"/>
      <c r="G129" s="171"/>
      <c r="H129" s="171"/>
      <c r="I129" s="171"/>
      <c r="J129" s="171"/>
      <c r="K129" s="171"/>
      <c r="L129" s="171"/>
      <c r="M129" s="171"/>
      <c r="N129" s="171"/>
      <c r="O129" s="171"/>
      <c r="P129" s="171"/>
      <c r="Q129" s="171"/>
      <c r="R129" s="171"/>
    </row>
    <row r="130" spans="1:18" x14ac:dyDescent="0.15">
      <c r="A130" s="171"/>
      <c r="B130" s="171"/>
      <c r="C130" s="171"/>
      <c r="D130" s="171"/>
      <c r="E130" s="171"/>
      <c r="F130" s="171"/>
      <c r="G130" s="171"/>
      <c r="H130" s="171"/>
      <c r="I130" s="171"/>
      <c r="J130" s="171"/>
      <c r="K130" s="171"/>
      <c r="L130" s="171"/>
      <c r="M130" s="171"/>
      <c r="N130" s="171"/>
      <c r="O130" s="171"/>
      <c r="P130" s="171"/>
      <c r="Q130" s="171"/>
      <c r="R130" s="171"/>
    </row>
    <row r="131" spans="1:18" x14ac:dyDescent="0.15">
      <c r="A131" s="171"/>
      <c r="B131" s="171"/>
      <c r="C131" s="171"/>
      <c r="D131" s="171"/>
      <c r="E131" s="171"/>
      <c r="F131" s="171"/>
      <c r="G131" s="171"/>
      <c r="H131" s="171"/>
      <c r="I131" s="171"/>
      <c r="J131" s="171"/>
      <c r="K131" s="171"/>
      <c r="L131" s="171"/>
      <c r="M131" s="171"/>
      <c r="N131" s="171"/>
      <c r="O131" s="171"/>
      <c r="P131" s="171"/>
      <c r="Q131" s="171"/>
      <c r="R131" s="171"/>
    </row>
    <row r="132" spans="1:18" x14ac:dyDescent="0.15">
      <c r="A132" s="171"/>
      <c r="B132" s="171"/>
      <c r="C132" s="171"/>
      <c r="D132" s="171"/>
      <c r="E132" s="171"/>
      <c r="F132" s="171"/>
      <c r="G132" s="171"/>
      <c r="H132" s="171"/>
      <c r="I132" s="171"/>
      <c r="J132" s="171"/>
      <c r="K132" s="171"/>
      <c r="L132" s="171"/>
      <c r="M132" s="171"/>
      <c r="N132" s="171"/>
      <c r="O132" s="171"/>
      <c r="P132" s="171"/>
      <c r="Q132" s="171"/>
      <c r="R132" s="171"/>
    </row>
    <row r="133" spans="1:18" x14ac:dyDescent="0.15">
      <c r="A133" s="171"/>
      <c r="B133" s="171"/>
      <c r="C133" s="171"/>
      <c r="D133" s="171"/>
      <c r="E133" s="171"/>
      <c r="F133" s="171"/>
      <c r="G133" s="171"/>
      <c r="H133" s="171"/>
      <c r="I133" s="171"/>
      <c r="J133" s="171"/>
      <c r="K133" s="171"/>
      <c r="L133" s="171"/>
      <c r="M133" s="171"/>
      <c r="N133" s="171"/>
      <c r="O133" s="171"/>
      <c r="P133" s="171"/>
      <c r="Q133" s="171"/>
      <c r="R133" s="171"/>
    </row>
    <row r="134" spans="1:18" x14ac:dyDescent="0.15">
      <c r="A134" s="171"/>
      <c r="B134" s="171"/>
      <c r="C134" s="171"/>
      <c r="D134" s="171"/>
      <c r="E134" s="171"/>
      <c r="F134" s="171"/>
      <c r="G134" s="171"/>
      <c r="H134" s="171"/>
      <c r="I134" s="171"/>
      <c r="J134" s="171"/>
      <c r="K134" s="171"/>
      <c r="L134" s="171"/>
      <c r="M134" s="171"/>
      <c r="N134" s="171"/>
      <c r="O134" s="171"/>
      <c r="P134" s="171"/>
      <c r="Q134" s="171"/>
      <c r="R134" s="171"/>
    </row>
    <row r="135" spans="1:18" x14ac:dyDescent="0.15">
      <c r="A135" s="171"/>
      <c r="B135" s="171"/>
      <c r="C135" s="171"/>
      <c r="D135" s="171"/>
      <c r="E135" s="171"/>
      <c r="F135" s="171"/>
      <c r="G135" s="171"/>
      <c r="H135" s="171"/>
      <c r="I135" s="171"/>
      <c r="J135" s="171"/>
      <c r="K135" s="171"/>
      <c r="L135" s="171"/>
      <c r="M135" s="171"/>
      <c r="N135" s="171"/>
      <c r="O135" s="171"/>
      <c r="P135" s="171"/>
      <c r="Q135" s="171"/>
      <c r="R135" s="171"/>
    </row>
    <row r="136" spans="1:18" x14ac:dyDescent="0.15">
      <c r="A136" s="171"/>
      <c r="B136" s="171"/>
      <c r="C136" s="171"/>
      <c r="D136" s="171"/>
      <c r="E136" s="171"/>
      <c r="F136" s="171"/>
      <c r="G136" s="171"/>
      <c r="H136" s="171"/>
      <c r="I136" s="171"/>
      <c r="J136" s="171"/>
      <c r="K136" s="171"/>
      <c r="L136" s="171"/>
      <c r="M136" s="171"/>
      <c r="N136" s="171"/>
      <c r="O136" s="171"/>
      <c r="P136" s="171"/>
      <c r="Q136" s="171"/>
      <c r="R136" s="171"/>
    </row>
    <row r="137" spans="1:18" x14ac:dyDescent="0.15">
      <c r="A137" s="171"/>
      <c r="B137" s="171"/>
      <c r="C137" s="171"/>
      <c r="D137" s="171"/>
      <c r="E137" s="171"/>
      <c r="F137" s="171"/>
      <c r="G137" s="171"/>
      <c r="H137" s="171"/>
      <c r="I137" s="171"/>
      <c r="J137" s="171"/>
      <c r="K137" s="171"/>
      <c r="L137" s="171"/>
      <c r="M137" s="171"/>
      <c r="N137" s="171"/>
      <c r="O137" s="171"/>
      <c r="P137" s="171"/>
      <c r="Q137" s="171"/>
      <c r="R137" s="171"/>
    </row>
    <row r="138" spans="1:18" x14ac:dyDescent="0.15">
      <c r="A138" s="171"/>
      <c r="B138" s="171"/>
      <c r="C138" s="171"/>
      <c r="D138" s="171"/>
      <c r="E138" s="171"/>
      <c r="F138" s="171"/>
      <c r="G138" s="171"/>
      <c r="H138" s="171"/>
      <c r="I138" s="171"/>
      <c r="J138" s="171"/>
      <c r="K138" s="171"/>
      <c r="L138" s="171"/>
      <c r="M138" s="171"/>
      <c r="N138" s="171"/>
      <c r="O138" s="171"/>
      <c r="P138" s="171"/>
      <c r="Q138" s="171"/>
      <c r="R138" s="171"/>
    </row>
    <row r="139" spans="1:18" x14ac:dyDescent="0.15">
      <c r="A139" s="171"/>
      <c r="B139" s="171"/>
      <c r="C139" s="171"/>
      <c r="D139" s="171"/>
      <c r="E139" s="171"/>
      <c r="F139" s="171"/>
      <c r="G139" s="171"/>
      <c r="H139" s="171"/>
      <c r="I139" s="171"/>
      <c r="J139" s="171"/>
      <c r="K139" s="171"/>
      <c r="L139" s="171"/>
      <c r="M139" s="171"/>
      <c r="N139" s="171"/>
      <c r="O139" s="171"/>
      <c r="P139" s="171"/>
      <c r="Q139" s="171"/>
      <c r="R139" s="171"/>
    </row>
    <row r="140" spans="1:18" x14ac:dyDescent="0.15">
      <c r="A140" s="171"/>
      <c r="B140" s="171"/>
      <c r="C140" s="171"/>
      <c r="D140" s="171"/>
      <c r="E140" s="171"/>
      <c r="F140" s="171"/>
      <c r="G140" s="171"/>
      <c r="H140" s="171"/>
      <c r="I140" s="171"/>
      <c r="J140" s="171"/>
      <c r="K140" s="171"/>
      <c r="L140" s="171"/>
      <c r="M140" s="171"/>
      <c r="N140" s="171"/>
      <c r="O140" s="171"/>
      <c r="P140" s="171"/>
      <c r="Q140" s="171"/>
      <c r="R140" s="171"/>
    </row>
    <row r="141" spans="1:18" x14ac:dyDescent="0.15">
      <c r="A141" s="171"/>
      <c r="B141" s="171"/>
      <c r="C141" s="171"/>
      <c r="D141" s="171"/>
      <c r="E141" s="171"/>
      <c r="F141" s="171"/>
      <c r="G141" s="171"/>
      <c r="H141" s="171"/>
      <c r="I141" s="171"/>
      <c r="J141" s="171"/>
      <c r="K141" s="171"/>
      <c r="L141" s="171"/>
      <c r="M141" s="171"/>
      <c r="N141" s="171"/>
      <c r="O141" s="171"/>
      <c r="P141" s="171"/>
      <c r="Q141" s="171"/>
      <c r="R141" s="171"/>
    </row>
    <row r="142" spans="1:18" x14ac:dyDescent="0.15">
      <c r="A142" s="171"/>
      <c r="B142" s="171"/>
      <c r="C142" s="171"/>
      <c r="D142" s="171"/>
      <c r="E142" s="171"/>
      <c r="F142" s="171"/>
      <c r="G142" s="171"/>
      <c r="H142" s="171"/>
      <c r="I142" s="171"/>
      <c r="J142" s="171"/>
      <c r="K142" s="171"/>
      <c r="L142" s="171"/>
      <c r="M142" s="171"/>
      <c r="N142" s="171"/>
      <c r="O142" s="171"/>
      <c r="P142" s="171"/>
      <c r="Q142" s="171"/>
      <c r="R142" s="171"/>
    </row>
    <row r="143" spans="1:18" x14ac:dyDescent="0.15">
      <c r="A143" s="171"/>
      <c r="B143" s="171"/>
      <c r="C143" s="171"/>
      <c r="D143" s="171"/>
      <c r="E143" s="171"/>
      <c r="F143" s="171"/>
      <c r="G143" s="171"/>
      <c r="H143" s="171"/>
      <c r="I143" s="171"/>
      <c r="J143" s="171"/>
      <c r="K143" s="171"/>
      <c r="L143" s="171"/>
      <c r="M143" s="171"/>
      <c r="N143" s="171"/>
      <c r="O143" s="171"/>
      <c r="P143" s="171"/>
      <c r="Q143" s="171"/>
      <c r="R143" s="171"/>
    </row>
    <row r="144" spans="1:18" x14ac:dyDescent="0.15">
      <c r="A144" s="171"/>
      <c r="B144" s="171"/>
      <c r="C144" s="171"/>
      <c r="D144" s="171"/>
      <c r="E144" s="171"/>
      <c r="F144" s="171"/>
      <c r="G144" s="171"/>
      <c r="H144" s="171"/>
      <c r="I144" s="171"/>
      <c r="J144" s="171"/>
      <c r="K144" s="171"/>
      <c r="L144" s="171"/>
      <c r="M144" s="171"/>
      <c r="N144" s="171"/>
      <c r="O144" s="171"/>
      <c r="P144" s="171"/>
      <c r="Q144" s="171"/>
      <c r="R144" s="171"/>
    </row>
    <row r="145" spans="1:18" x14ac:dyDescent="0.15">
      <c r="A145" s="171"/>
      <c r="B145" s="171"/>
      <c r="C145" s="171"/>
      <c r="D145" s="171"/>
      <c r="E145" s="171"/>
      <c r="F145" s="171"/>
      <c r="G145" s="171"/>
      <c r="H145" s="171"/>
      <c r="I145" s="171"/>
      <c r="J145" s="171"/>
      <c r="K145" s="171"/>
      <c r="L145" s="171"/>
      <c r="M145" s="171"/>
      <c r="N145" s="171"/>
      <c r="O145" s="171"/>
      <c r="P145" s="171"/>
      <c r="Q145" s="171"/>
      <c r="R145" s="171"/>
    </row>
    <row r="146" spans="1:18" x14ac:dyDescent="0.15">
      <c r="A146" s="171"/>
      <c r="B146" s="171"/>
      <c r="C146" s="171"/>
      <c r="D146" s="171"/>
      <c r="E146" s="171"/>
      <c r="F146" s="171"/>
      <c r="G146" s="171"/>
      <c r="H146" s="171"/>
      <c r="I146" s="171"/>
      <c r="J146" s="171"/>
      <c r="K146" s="171"/>
      <c r="L146" s="171"/>
      <c r="M146" s="171"/>
      <c r="N146" s="171"/>
      <c r="O146" s="171"/>
      <c r="P146" s="171"/>
      <c r="Q146" s="171"/>
      <c r="R146" s="171"/>
    </row>
    <row r="147" spans="1:18" x14ac:dyDescent="0.15">
      <c r="A147" s="171"/>
      <c r="B147" s="171"/>
      <c r="C147" s="171"/>
      <c r="D147" s="171"/>
      <c r="E147" s="171"/>
      <c r="F147" s="171"/>
      <c r="G147" s="171"/>
      <c r="H147" s="171"/>
      <c r="I147" s="171"/>
      <c r="J147" s="171"/>
      <c r="K147" s="171"/>
      <c r="L147" s="171"/>
      <c r="M147" s="171"/>
      <c r="N147" s="171"/>
      <c r="O147" s="171"/>
      <c r="P147" s="171"/>
      <c r="Q147" s="171"/>
      <c r="R147" s="171"/>
    </row>
    <row r="148" spans="1:18" x14ac:dyDescent="0.15">
      <c r="A148" s="171"/>
      <c r="B148" s="171"/>
      <c r="C148" s="171"/>
      <c r="D148" s="171"/>
      <c r="E148" s="171"/>
      <c r="F148" s="171"/>
      <c r="G148" s="171"/>
      <c r="H148" s="171"/>
      <c r="I148" s="171"/>
      <c r="J148" s="171"/>
      <c r="K148" s="171"/>
      <c r="L148" s="171"/>
      <c r="M148" s="171"/>
      <c r="N148" s="171"/>
      <c r="O148" s="171"/>
      <c r="P148" s="171"/>
      <c r="Q148" s="171"/>
      <c r="R148" s="171"/>
    </row>
    <row r="149" spans="1:18" x14ac:dyDescent="0.15">
      <c r="A149" s="171"/>
      <c r="B149" s="171"/>
      <c r="C149" s="171"/>
      <c r="D149" s="171"/>
      <c r="E149" s="171"/>
      <c r="F149" s="171"/>
      <c r="G149" s="171"/>
      <c r="H149" s="171"/>
      <c r="I149" s="171"/>
      <c r="J149" s="171"/>
      <c r="K149" s="171"/>
      <c r="L149" s="171"/>
      <c r="M149" s="171"/>
      <c r="N149" s="171"/>
      <c r="O149" s="171"/>
      <c r="P149" s="171"/>
      <c r="Q149" s="171"/>
      <c r="R149" s="171"/>
    </row>
    <row r="150" spans="1:18" x14ac:dyDescent="0.15">
      <c r="A150" s="171"/>
      <c r="B150" s="171"/>
      <c r="C150" s="171"/>
      <c r="D150" s="171"/>
      <c r="E150" s="171"/>
      <c r="F150" s="171"/>
      <c r="G150" s="171"/>
      <c r="H150" s="171"/>
      <c r="I150" s="171"/>
      <c r="J150" s="171"/>
      <c r="K150" s="171"/>
      <c r="L150" s="171"/>
      <c r="M150" s="171"/>
      <c r="N150" s="171"/>
      <c r="O150" s="171"/>
      <c r="P150" s="171"/>
      <c r="Q150" s="171"/>
      <c r="R150" s="171"/>
    </row>
    <row r="151" spans="1:18" x14ac:dyDescent="0.15">
      <c r="A151" s="171"/>
      <c r="B151" s="171"/>
      <c r="C151" s="171"/>
      <c r="D151" s="171"/>
      <c r="E151" s="171"/>
      <c r="F151" s="171"/>
      <c r="G151" s="171"/>
      <c r="H151" s="171"/>
      <c r="I151" s="171"/>
      <c r="J151" s="171"/>
      <c r="K151" s="171"/>
      <c r="L151" s="171"/>
      <c r="M151" s="171"/>
      <c r="N151" s="171"/>
      <c r="O151" s="171"/>
      <c r="P151" s="171"/>
      <c r="Q151" s="171"/>
      <c r="R151" s="171"/>
    </row>
    <row r="152" spans="1:18" x14ac:dyDescent="0.15">
      <c r="A152" s="171"/>
      <c r="B152" s="171"/>
      <c r="C152" s="171"/>
      <c r="D152" s="171"/>
      <c r="E152" s="171"/>
      <c r="F152" s="171"/>
      <c r="G152" s="171"/>
      <c r="H152" s="171"/>
      <c r="I152" s="171"/>
      <c r="J152" s="171"/>
      <c r="K152" s="171"/>
      <c r="L152" s="171"/>
      <c r="M152" s="171"/>
      <c r="N152" s="171"/>
      <c r="O152" s="171"/>
      <c r="P152" s="171"/>
      <c r="Q152" s="171"/>
      <c r="R152" s="171"/>
    </row>
    <row r="153" spans="1:18" x14ac:dyDescent="0.15">
      <c r="A153" s="171"/>
      <c r="B153" s="171"/>
      <c r="C153" s="171"/>
      <c r="D153" s="171"/>
      <c r="E153" s="171"/>
      <c r="F153" s="171"/>
      <c r="G153" s="171"/>
      <c r="H153" s="171"/>
      <c r="I153" s="171"/>
      <c r="J153" s="171"/>
      <c r="K153" s="171"/>
      <c r="L153" s="171"/>
      <c r="M153" s="171"/>
      <c r="N153" s="171"/>
      <c r="O153" s="171"/>
      <c r="P153" s="171"/>
      <c r="Q153" s="171"/>
      <c r="R153" s="171"/>
    </row>
    <row r="154" spans="1:18" x14ac:dyDescent="0.15">
      <c r="A154" s="171"/>
      <c r="B154" s="171"/>
      <c r="C154" s="171"/>
      <c r="D154" s="171"/>
      <c r="E154" s="171"/>
      <c r="F154" s="171"/>
      <c r="G154" s="171"/>
      <c r="H154" s="171"/>
      <c r="I154" s="171"/>
      <c r="J154" s="171"/>
      <c r="K154" s="171"/>
      <c r="L154" s="171"/>
      <c r="M154" s="171"/>
      <c r="N154" s="171"/>
      <c r="O154" s="171"/>
      <c r="P154" s="171"/>
      <c r="Q154" s="171"/>
      <c r="R154" s="171"/>
    </row>
    <row r="155" spans="1:18" x14ac:dyDescent="0.15">
      <c r="A155" s="171"/>
      <c r="B155" s="171"/>
      <c r="C155" s="171"/>
      <c r="D155" s="171"/>
      <c r="E155" s="171"/>
      <c r="F155" s="171"/>
      <c r="G155" s="171"/>
      <c r="H155" s="171"/>
      <c r="I155" s="171"/>
      <c r="J155" s="171"/>
      <c r="K155" s="171"/>
      <c r="L155" s="171"/>
      <c r="M155" s="171"/>
      <c r="N155" s="171"/>
      <c r="O155" s="171"/>
      <c r="P155" s="171"/>
      <c r="Q155" s="171"/>
      <c r="R155" s="171"/>
    </row>
    <row r="156" spans="1:18" x14ac:dyDescent="0.15">
      <c r="A156" s="171"/>
      <c r="B156" s="171"/>
      <c r="C156" s="171"/>
      <c r="D156" s="171"/>
      <c r="E156" s="171"/>
      <c r="F156" s="171"/>
      <c r="G156" s="171"/>
      <c r="H156" s="171"/>
      <c r="I156" s="171"/>
      <c r="J156" s="171"/>
      <c r="K156" s="171"/>
      <c r="L156" s="171"/>
      <c r="M156" s="171"/>
      <c r="N156" s="171"/>
      <c r="O156" s="171"/>
      <c r="P156" s="171"/>
      <c r="Q156" s="171"/>
      <c r="R156" s="171"/>
    </row>
    <row r="157" spans="1:18" x14ac:dyDescent="0.15">
      <c r="A157" s="171"/>
      <c r="B157" s="171"/>
      <c r="C157" s="171"/>
      <c r="D157" s="171"/>
      <c r="E157" s="171"/>
      <c r="F157" s="171"/>
      <c r="G157" s="171"/>
      <c r="H157" s="171"/>
      <c r="I157" s="171"/>
      <c r="J157" s="171"/>
      <c r="K157" s="171"/>
      <c r="L157" s="171"/>
      <c r="M157" s="171"/>
      <c r="N157" s="171"/>
      <c r="O157" s="171"/>
      <c r="P157" s="171"/>
      <c r="Q157" s="171"/>
      <c r="R157" s="171"/>
    </row>
    <row r="158" spans="1:18" x14ac:dyDescent="0.15">
      <c r="A158" s="171"/>
      <c r="B158" s="171"/>
      <c r="C158" s="171"/>
      <c r="D158" s="171"/>
      <c r="E158" s="171"/>
      <c r="F158" s="171"/>
      <c r="G158" s="171"/>
      <c r="H158" s="171"/>
      <c r="I158" s="171"/>
      <c r="J158" s="171"/>
      <c r="K158" s="171"/>
      <c r="L158" s="171"/>
      <c r="M158" s="171"/>
      <c r="N158" s="171"/>
      <c r="O158" s="171"/>
      <c r="P158" s="171"/>
      <c r="Q158" s="171"/>
      <c r="R158" s="171"/>
    </row>
    <row r="159" spans="1:18" x14ac:dyDescent="0.15">
      <c r="A159" s="171"/>
      <c r="B159" s="171"/>
      <c r="C159" s="171"/>
      <c r="D159" s="171"/>
      <c r="E159" s="171"/>
      <c r="F159" s="171"/>
      <c r="G159" s="171"/>
      <c r="H159" s="171"/>
      <c r="I159" s="171"/>
      <c r="J159" s="171"/>
      <c r="K159" s="171"/>
      <c r="L159" s="171"/>
      <c r="M159" s="171"/>
      <c r="N159" s="171"/>
      <c r="O159" s="171"/>
      <c r="P159" s="171"/>
      <c r="Q159" s="171"/>
      <c r="R159" s="171"/>
    </row>
    <row r="160" spans="1:18" x14ac:dyDescent="0.15">
      <c r="A160" s="171"/>
      <c r="B160" s="171"/>
      <c r="C160" s="171"/>
      <c r="D160" s="171"/>
      <c r="E160" s="171"/>
      <c r="F160" s="171"/>
      <c r="G160" s="171"/>
      <c r="H160" s="171"/>
      <c r="I160" s="171"/>
      <c r="J160" s="171"/>
      <c r="K160" s="171"/>
      <c r="L160" s="171"/>
      <c r="M160" s="171"/>
      <c r="N160" s="171"/>
      <c r="O160" s="171"/>
      <c r="P160" s="171"/>
      <c r="Q160" s="171"/>
      <c r="R160" s="171"/>
    </row>
    <row r="161" spans="1:18" x14ac:dyDescent="0.15">
      <c r="A161" s="171"/>
      <c r="B161" s="171"/>
      <c r="C161" s="171"/>
      <c r="D161" s="171"/>
      <c r="E161" s="171"/>
      <c r="F161" s="171"/>
      <c r="G161" s="171"/>
      <c r="H161" s="171"/>
      <c r="I161" s="171"/>
      <c r="J161" s="171"/>
      <c r="K161" s="171"/>
      <c r="L161" s="171"/>
      <c r="M161" s="171"/>
      <c r="N161" s="171"/>
      <c r="O161" s="171"/>
      <c r="P161" s="171"/>
      <c r="Q161" s="171"/>
      <c r="R161" s="171"/>
    </row>
    <row r="162" spans="1:18" x14ac:dyDescent="0.15">
      <c r="A162" s="171"/>
      <c r="B162" s="171"/>
      <c r="C162" s="171"/>
      <c r="D162" s="171"/>
      <c r="E162" s="171"/>
      <c r="F162" s="171"/>
      <c r="G162" s="171"/>
      <c r="H162" s="171"/>
      <c r="I162" s="171"/>
      <c r="J162" s="171"/>
      <c r="K162" s="171"/>
      <c r="L162" s="171"/>
      <c r="M162" s="171"/>
      <c r="N162" s="171"/>
      <c r="O162" s="171"/>
      <c r="P162" s="171"/>
      <c r="Q162" s="171"/>
      <c r="R162" s="171"/>
    </row>
    <row r="163" spans="1:18" x14ac:dyDescent="0.15">
      <c r="A163" s="171"/>
      <c r="B163" s="171"/>
      <c r="C163" s="171"/>
      <c r="D163" s="171"/>
      <c r="E163" s="171"/>
      <c r="F163" s="171"/>
      <c r="G163" s="171"/>
      <c r="H163" s="171"/>
      <c r="I163" s="171"/>
      <c r="J163" s="171"/>
      <c r="K163" s="171"/>
      <c r="L163" s="171"/>
      <c r="M163" s="171"/>
      <c r="N163" s="171"/>
      <c r="O163" s="171"/>
      <c r="P163" s="171"/>
      <c r="Q163" s="171"/>
      <c r="R163" s="171"/>
    </row>
    <row r="164" spans="1:18" x14ac:dyDescent="0.15">
      <c r="A164" s="171"/>
      <c r="B164" s="171"/>
      <c r="C164" s="171"/>
      <c r="D164" s="171"/>
      <c r="E164" s="171"/>
      <c r="F164" s="171"/>
      <c r="G164" s="171"/>
      <c r="H164" s="171"/>
      <c r="I164" s="171"/>
      <c r="J164" s="171"/>
      <c r="K164" s="171"/>
      <c r="L164" s="171"/>
      <c r="M164" s="171"/>
      <c r="N164" s="171"/>
      <c r="O164" s="171"/>
      <c r="P164" s="171"/>
      <c r="Q164" s="171"/>
      <c r="R164" s="171"/>
    </row>
    <row r="165" spans="1:18" x14ac:dyDescent="0.15">
      <c r="A165" s="171"/>
      <c r="B165" s="171"/>
      <c r="C165" s="171"/>
      <c r="D165" s="171"/>
      <c r="E165" s="171"/>
      <c r="F165" s="171"/>
      <c r="G165" s="171"/>
      <c r="H165" s="171"/>
      <c r="I165" s="171"/>
      <c r="J165" s="171"/>
      <c r="K165" s="171"/>
      <c r="L165" s="171"/>
      <c r="M165" s="171"/>
      <c r="N165" s="171"/>
      <c r="O165" s="171"/>
      <c r="P165" s="171"/>
      <c r="Q165" s="171"/>
      <c r="R165" s="171"/>
    </row>
    <row r="166" spans="1:18" x14ac:dyDescent="0.15">
      <c r="A166" s="171"/>
      <c r="B166" s="171"/>
      <c r="C166" s="171"/>
      <c r="D166" s="171"/>
      <c r="E166" s="171"/>
      <c r="F166" s="171"/>
      <c r="G166" s="171"/>
      <c r="H166" s="171"/>
      <c r="I166" s="171"/>
      <c r="J166" s="171"/>
      <c r="K166" s="171"/>
      <c r="L166" s="171"/>
      <c r="M166" s="171"/>
      <c r="N166" s="171"/>
      <c r="O166" s="171"/>
      <c r="P166" s="171"/>
      <c r="Q166" s="171"/>
      <c r="R166" s="171"/>
    </row>
    <row r="167" spans="1:18" x14ac:dyDescent="0.15">
      <c r="A167" s="171"/>
      <c r="B167" s="171"/>
      <c r="C167" s="171"/>
      <c r="D167" s="171"/>
      <c r="E167" s="171"/>
      <c r="F167" s="171"/>
      <c r="G167" s="171"/>
      <c r="H167" s="171"/>
      <c r="I167" s="171"/>
      <c r="J167" s="171"/>
      <c r="K167" s="171"/>
      <c r="L167" s="171"/>
      <c r="M167" s="171"/>
      <c r="N167" s="171"/>
      <c r="O167" s="171"/>
      <c r="P167" s="171"/>
      <c r="Q167" s="171"/>
      <c r="R167" s="171"/>
    </row>
    <row r="168" spans="1:18" x14ac:dyDescent="0.15">
      <c r="A168" s="171"/>
      <c r="B168" s="171"/>
      <c r="C168" s="171"/>
      <c r="D168" s="171"/>
      <c r="E168" s="171"/>
      <c r="F168" s="171"/>
      <c r="G168" s="171"/>
      <c r="H168" s="171"/>
      <c r="I168" s="171"/>
      <c r="J168" s="171"/>
      <c r="K168" s="171"/>
      <c r="L168" s="171"/>
      <c r="M168" s="171"/>
      <c r="N168" s="171"/>
      <c r="O168" s="171"/>
      <c r="P168" s="171"/>
      <c r="Q168" s="171"/>
      <c r="R168" s="171"/>
    </row>
    <row r="169" spans="1:18" x14ac:dyDescent="0.15">
      <c r="A169" s="171"/>
      <c r="B169" s="171"/>
      <c r="C169" s="171"/>
      <c r="D169" s="171"/>
      <c r="E169" s="171"/>
      <c r="F169" s="171"/>
      <c r="G169" s="171"/>
      <c r="H169" s="171"/>
      <c r="I169" s="171"/>
      <c r="J169" s="171"/>
      <c r="K169" s="171"/>
      <c r="L169" s="171"/>
      <c r="M169" s="171"/>
      <c r="N169" s="171"/>
      <c r="O169" s="171"/>
      <c r="P169" s="171"/>
      <c r="Q169" s="171"/>
      <c r="R169" s="171"/>
    </row>
    <row r="170" spans="1:18" x14ac:dyDescent="0.15">
      <c r="A170" s="171"/>
      <c r="B170" s="171"/>
      <c r="C170" s="171"/>
      <c r="D170" s="171"/>
      <c r="E170" s="171"/>
      <c r="F170" s="171"/>
      <c r="G170" s="171"/>
      <c r="H170" s="171"/>
      <c r="I170" s="171"/>
      <c r="J170" s="171"/>
      <c r="K170" s="171"/>
      <c r="L170" s="171"/>
      <c r="M170" s="171"/>
      <c r="N170" s="171"/>
      <c r="O170" s="171"/>
      <c r="P170" s="171"/>
      <c r="Q170" s="171"/>
      <c r="R170" s="171"/>
    </row>
    <row r="171" spans="1:18" x14ac:dyDescent="0.15">
      <c r="A171" s="171"/>
      <c r="B171" s="171"/>
      <c r="C171" s="171"/>
      <c r="D171" s="171"/>
      <c r="E171" s="171"/>
      <c r="F171" s="171"/>
      <c r="G171" s="171"/>
      <c r="H171" s="171"/>
      <c r="I171" s="171"/>
      <c r="J171" s="171"/>
      <c r="K171" s="171"/>
      <c r="L171" s="171"/>
      <c r="M171" s="171"/>
      <c r="N171" s="171"/>
      <c r="O171" s="171"/>
      <c r="P171" s="171"/>
      <c r="Q171" s="171"/>
      <c r="R171" s="171"/>
    </row>
    <row r="172" spans="1:18" x14ac:dyDescent="0.15">
      <c r="A172" s="171"/>
      <c r="B172" s="171"/>
      <c r="C172" s="171"/>
      <c r="D172" s="171"/>
      <c r="E172" s="171"/>
      <c r="F172" s="171"/>
      <c r="G172" s="171"/>
      <c r="H172" s="171"/>
      <c r="I172" s="171"/>
      <c r="J172" s="171"/>
      <c r="K172" s="171"/>
      <c r="L172" s="171"/>
      <c r="M172" s="171"/>
      <c r="N172" s="171"/>
      <c r="O172" s="171"/>
      <c r="P172" s="171"/>
      <c r="Q172" s="171"/>
      <c r="R172" s="171"/>
    </row>
    <row r="173" spans="1:18" x14ac:dyDescent="0.15">
      <c r="A173" s="171"/>
      <c r="B173" s="171"/>
      <c r="C173" s="171"/>
      <c r="D173" s="171"/>
      <c r="E173" s="171"/>
      <c r="F173" s="171"/>
      <c r="G173" s="171"/>
      <c r="H173" s="171"/>
      <c r="I173" s="171"/>
      <c r="J173" s="171"/>
      <c r="K173" s="171"/>
      <c r="L173" s="171"/>
      <c r="M173" s="171"/>
      <c r="N173" s="171"/>
      <c r="O173" s="171"/>
      <c r="P173" s="171"/>
      <c r="Q173" s="171"/>
      <c r="R173" s="171"/>
    </row>
    <row r="174" spans="1:18" x14ac:dyDescent="0.15">
      <c r="A174" s="171"/>
      <c r="B174" s="171"/>
      <c r="C174" s="171"/>
      <c r="D174" s="171"/>
      <c r="E174" s="171"/>
      <c r="F174" s="171"/>
      <c r="G174" s="171"/>
      <c r="H174" s="171"/>
      <c r="I174" s="171"/>
      <c r="J174" s="171"/>
      <c r="K174" s="171"/>
      <c r="L174" s="171"/>
      <c r="M174" s="171"/>
      <c r="N174" s="171"/>
      <c r="O174" s="171"/>
      <c r="P174" s="171"/>
      <c r="Q174" s="171"/>
      <c r="R174" s="171"/>
    </row>
    <row r="175" spans="1:18" x14ac:dyDescent="0.15">
      <c r="A175" s="171"/>
      <c r="B175" s="171"/>
      <c r="C175" s="171"/>
      <c r="D175" s="171"/>
      <c r="E175" s="171"/>
      <c r="F175" s="171"/>
      <c r="G175" s="171"/>
      <c r="H175" s="171"/>
      <c r="I175" s="171"/>
      <c r="J175" s="171"/>
      <c r="K175" s="171"/>
      <c r="L175" s="171"/>
      <c r="M175" s="171"/>
      <c r="N175" s="171"/>
      <c r="O175" s="171"/>
      <c r="P175" s="171"/>
      <c r="Q175" s="171"/>
      <c r="R175" s="171"/>
    </row>
    <row r="176" spans="1:18" x14ac:dyDescent="0.15">
      <c r="A176" s="171"/>
      <c r="B176" s="171"/>
      <c r="C176" s="171"/>
      <c r="D176" s="171"/>
      <c r="E176" s="171"/>
      <c r="F176" s="171"/>
      <c r="G176" s="171"/>
      <c r="H176" s="171"/>
      <c r="I176" s="171"/>
      <c r="J176" s="171"/>
      <c r="K176" s="171"/>
      <c r="L176" s="171"/>
      <c r="M176" s="171"/>
      <c r="N176" s="171"/>
      <c r="O176" s="171"/>
      <c r="P176" s="171"/>
      <c r="Q176" s="171"/>
      <c r="R176" s="171"/>
    </row>
    <row r="177" spans="1:18" x14ac:dyDescent="0.15">
      <c r="A177" s="171"/>
      <c r="B177" s="171"/>
      <c r="C177" s="171"/>
      <c r="D177" s="171"/>
      <c r="E177" s="171"/>
      <c r="F177" s="171"/>
      <c r="G177" s="171"/>
      <c r="H177" s="171"/>
      <c r="I177" s="171"/>
      <c r="J177" s="171"/>
      <c r="K177" s="171"/>
      <c r="L177" s="171"/>
      <c r="M177" s="171"/>
      <c r="N177" s="171"/>
      <c r="O177" s="171"/>
      <c r="P177" s="171"/>
      <c r="Q177" s="171"/>
      <c r="R177" s="171"/>
    </row>
    <row r="178" spans="1:18" x14ac:dyDescent="0.15">
      <c r="A178" s="171"/>
      <c r="B178" s="171"/>
      <c r="C178" s="171"/>
      <c r="D178" s="171"/>
      <c r="E178" s="171"/>
      <c r="F178" s="171"/>
      <c r="G178" s="171"/>
      <c r="H178" s="171"/>
      <c r="I178" s="171"/>
      <c r="J178" s="171"/>
      <c r="K178" s="171"/>
      <c r="L178" s="171"/>
      <c r="M178" s="171"/>
      <c r="N178" s="171"/>
      <c r="O178" s="171"/>
      <c r="P178" s="171"/>
      <c r="Q178" s="171"/>
      <c r="R178" s="171"/>
    </row>
    <row r="179" spans="1:18" x14ac:dyDescent="0.15">
      <c r="A179" s="171"/>
      <c r="B179" s="171"/>
      <c r="C179" s="171"/>
      <c r="D179" s="171"/>
      <c r="E179" s="171"/>
      <c r="F179" s="171"/>
      <c r="G179" s="171"/>
      <c r="H179" s="171"/>
      <c r="I179" s="171"/>
      <c r="J179" s="171"/>
      <c r="K179" s="171"/>
      <c r="L179" s="171"/>
      <c r="M179" s="171"/>
      <c r="N179" s="171"/>
      <c r="O179" s="171"/>
      <c r="P179" s="171"/>
      <c r="Q179" s="171"/>
      <c r="R179" s="171"/>
    </row>
    <row r="180" spans="1:18" x14ac:dyDescent="0.15">
      <c r="A180" s="171"/>
      <c r="B180" s="171"/>
      <c r="C180" s="171"/>
      <c r="D180" s="171"/>
      <c r="E180" s="171"/>
      <c r="F180" s="171"/>
      <c r="G180" s="171"/>
      <c r="H180" s="171"/>
      <c r="I180" s="171"/>
      <c r="J180" s="171"/>
      <c r="K180" s="171"/>
      <c r="L180" s="171"/>
      <c r="M180" s="171"/>
      <c r="N180" s="171"/>
      <c r="O180" s="171"/>
      <c r="P180" s="171"/>
      <c r="Q180" s="171"/>
      <c r="R180" s="171"/>
    </row>
    <row r="181" spans="1:18" x14ac:dyDescent="0.15">
      <c r="A181" s="171"/>
      <c r="B181" s="171"/>
      <c r="C181" s="171"/>
      <c r="D181" s="171"/>
      <c r="E181" s="171"/>
      <c r="F181" s="171"/>
      <c r="G181" s="171"/>
      <c r="H181" s="171"/>
      <c r="I181" s="171"/>
      <c r="J181" s="171"/>
      <c r="K181" s="171"/>
      <c r="L181" s="171"/>
      <c r="M181" s="171"/>
      <c r="N181" s="171"/>
      <c r="O181" s="171"/>
      <c r="P181" s="171"/>
      <c r="Q181" s="171"/>
      <c r="R181" s="171"/>
    </row>
    <row r="182" spans="1:18" x14ac:dyDescent="0.15">
      <c r="A182" s="171"/>
      <c r="B182" s="171"/>
      <c r="C182" s="171"/>
      <c r="D182" s="171"/>
      <c r="E182" s="171"/>
      <c r="F182" s="171"/>
      <c r="G182" s="171"/>
      <c r="H182" s="171"/>
      <c r="I182" s="171"/>
      <c r="J182" s="171"/>
      <c r="K182" s="171"/>
      <c r="L182" s="171"/>
      <c r="M182" s="171"/>
      <c r="N182" s="171"/>
      <c r="O182" s="171"/>
      <c r="P182" s="171"/>
      <c r="Q182" s="171"/>
      <c r="R182" s="171"/>
    </row>
    <row r="183" spans="1:18" x14ac:dyDescent="0.15">
      <c r="A183" s="171"/>
      <c r="B183" s="171"/>
      <c r="C183" s="171"/>
      <c r="D183" s="171"/>
      <c r="E183" s="171"/>
      <c r="F183" s="171"/>
      <c r="G183" s="171"/>
      <c r="H183" s="171"/>
      <c r="I183" s="171"/>
      <c r="J183" s="171"/>
      <c r="K183" s="171"/>
      <c r="L183" s="171"/>
      <c r="M183" s="171"/>
      <c r="N183" s="171"/>
      <c r="O183" s="171"/>
      <c r="P183" s="171"/>
      <c r="Q183" s="171"/>
      <c r="R183" s="171"/>
    </row>
    <row r="184" spans="1:18" x14ac:dyDescent="0.15">
      <c r="A184" s="171"/>
      <c r="B184" s="171"/>
      <c r="C184" s="171"/>
      <c r="D184" s="171"/>
      <c r="E184" s="171"/>
      <c r="F184" s="171"/>
      <c r="G184" s="171"/>
      <c r="H184" s="171"/>
      <c r="I184" s="171"/>
      <c r="J184" s="171"/>
      <c r="K184" s="171"/>
      <c r="L184" s="171"/>
      <c r="M184" s="171"/>
      <c r="N184" s="171"/>
      <c r="O184" s="171"/>
      <c r="P184" s="171"/>
      <c r="Q184" s="171"/>
      <c r="R184" s="171"/>
    </row>
    <row r="185" spans="1:18" x14ac:dyDescent="0.15">
      <c r="A185" s="171"/>
      <c r="B185" s="171"/>
      <c r="C185" s="171"/>
      <c r="D185" s="171"/>
      <c r="E185" s="171"/>
      <c r="F185" s="171"/>
      <c r="G185" s="171"/>
      <c r="H185" s="171"/>
      <c r="I185" s="171"/>
      <c r="J185" s="171"/>
      <c r="K185" s="171"/>
      <c r="L185" s="171"/>
      <c r="M185" s="171"/>
      <c r="N185" s="171"/>
      <c r="O185" s="171"/>
      <c r="P185" s="171"/>
      <c r="Q185" s="171"/>
      <c r="R185" s="171"/>
    </row>
    <row r="186" spans="1:18" x14ac:dyDescent="0.15">
      <c r="A186" s="171"/>
      <c r="B186" s="171"/>
      <c r="C186" s="171"/>
      <c r="D186" s="171"/>
      <c r="E186" s="171"/>
      <c r="F186" s="171"/>
      <c r="G186" s="171"/>
      <c r="H186" s="171"/>
      <c r="I186" s="171"/>
      <c r="J186" s="171"/>
      <c r="K186" s="171"/>
      <c r="L186" s="171"/>
      <c r="M186" s="171"/>
      <c r="N186" s="171"/>
      <c r="O186" s="171"/>
      <c r="P186" s="171"/>
      <c r="Q186" s="171"/>
      <c r="R186" s="171"/>
    </row>
    <row r="187" spans="1:18" x14ac:dyDescent="0.15">
      <c r="A187" s="171"/>
      <c r="B187" s="171"/>
      <c r="C187" s="171"/>
      <c r="D187" s="171"/>
      <c r="E187" s="171"/>
      <c r="F187" s="171"/>
      <c r="G187" s="171"/>
      <c r="H187" s="171"/>
      <c r="I187" s="171"/>
      <c r="J187" s="171"/>
      <c r="K187" s="171"/>
      <c r="L187" s="171"/>
      <c r="M187" s="171"/>
      <c r="N187" s="171"/>
      <c r="O187" s="171"/>
      <c r="P187" s="171"/>
      <c r="Q187" s="171"/>
      <c r="R187" s="171"/>
    </row>
    <row r="188" spans="1:18" x14ac:dyDescent="0.15">
      <c r="A188" s="171"/>
      <c r="B188" s="171"/>
      <c r="C188" s="171"/>
      <c r="D188" s="171"/>
      <c r="E188" s="171"/>
      <c r="F188" s="171"/>
      <c r="G188" s="171"/>
      <c r="H188" s="171"/>
      <c r="I188" s="171"/>
      <c r="J188" s="171"/>
      <c r="K188" s="171"/>
      <c r="L188" s="171"/>
      <c r="M188" s="171"/>
      <c r="N188" s="171"/>
      <c r="O188" s="171"/>
      <c r="P188" s="171"/>
      <c r="Q188" s="171"/>
      <c r="R188" s="171"/>
    </row>
    <row r="189" spans="1:18" x14ac:dyDescent="0.15">
      <c r="A189" s="171"/>
      <c r="B189" s="171"/>
      <c r="C189" s="171"/>
      <c r="D189" s="171"/>
      <c r="E189" s="171"/>
      <c r="F189" s="171"/>
      <c r="G189" s="171"/>
      <c r="H189" s="171"/>
      <c r="I189" s="171"/>
      <c r="J189" s="171"/>
      <c r="K189" s="171"/>
      <c r="L189" s="171"/>
      <c r="M189" s="171"/>
      <c r="N189" s="171"/>
      <c r="O189" s="171"/>
      <c r="P189" s="171"/>
      <c r="Q189" s="171"/>
      <c r="R189" s="171"/>
    </row>
  </sheetData>
  <mergeCells count="1">
    <mergeCell ref="A1:A2"/>
  </mergeCells>
  <pageMargins left="0.7" right="0.7" top="0.75" bottom="0.75" header="0.3" footer="0.3"/>
  <pageSetup scale="9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dimension ref="A1:L32"/>
  <sheetViews>
    <sheetView zoomScale="120" zoomScaleNormal="120" workbookViewId="0">
      <selection activeCell="E26" sqref="E26"/>
    </sheetView>
  </sheetViews>
  <sheetFormatPr baseColWidth="10" defaultColWidth="8.83203125" defaultRowHeight="13" x14ac:dyDescent="0.15"/>
  <cols>
    <col min="1" max="1" width="3.6640625" customWidth="1"/>
    <col min="2" max="2" width="25.33203125" bestFit="1" customWidth="1"/>
    <col min="3" max="3" width="1.6640625" customWidth="1"/>
    <col min="4" max="4" width="8.6640625" hidden="1" customWidth="1"/>
    <col min="5" max="9" width="9.6640625" bestFit="1" customWidth="1"/>
    <col min="10" max="10" width="1.5" customWidth="1"/>
    <col min="11" max="11" width="9.33203125" hidden="1" customWidth="1"/>
  </cols>
  <sheetData>
    <row r="1" spans="1:11" ht="28" customHeight="1" x14ac:dyDescent="0.15">
      <c r="A1" s="430" t="s">
        <v>426</v>
      </c>
      <c r="B1" s="430"/>
      <c r="C1" s="430"/>
      <c r="D1" s="430"/>
      <c r="E1" s="430"/>
      <c r="F1" s="430"/>
      <c r="G1" s="430"/>
      <c r="H1" s="430"/>
      <c r="I1" s="430"/>
      <c r="J1" s="271"/>
    </row>
    <row r="2" spans="1:11" ht="9" customHeight="1" x14ac:dyDescent="0.15"/>
    <row r="3" spans="1:11" x14ac:dyDescent="0.15">
      <c r="D3" s="2" t="s">
        <v>143</v>
      </c>
      <c r="E3" s="2" t="s">
        <v>388</v>
      </c>
      <c r="F3" s="2" t="s">
        <v>389</v>
      </c>
      <c r="G3" s="2" t="s">
        <v>390</v>
      </c>
      <c r="H3" s="2" t="s">
        <v>391</v>
      </c>
      <c r="I3" s="2" t="s">
        <v>392</v>
      </c>
      <c r="J3" s="2"/>
    </row>
    <row r="4" spans="1:11" x14ac:dyDescent="0.15">
      <c r="B4" s="4"/>
      <c r="C4" s="4"/>
      <c r="D4" s="3" t="s">
        <v>69</v>
      </c>
      <c r="E4" s="3" t="s">
        <v>69</v>
      </c>
      <c r="F4" s="3" t="s">
        <v>96</v>
      </c>
      <c r="G4" s="3" t="s">
        <v>70</v>
      </c>
      <c r="H4" s="3" t="s">
        <v>70</v>
      </c>
      <c r="I4" s="3" t="s">
        <v>70</v>
      </c>
      <c r="J4" s="4"/>
    </row>
    <row r="5" spans="1:11" x14ac:dyDescent="0.15">
      <c r="A5" s="1" t="s">
        <v>93</v>
      </c>
    </row>
    <row r="6" spans="1:11" x14ac:dyDescent="0.15">
      <c r="A6" s="1"/>
      <c r="B6" s="43" t="s">
        <v>140</v>
      </c>
      <c r="C6" s="9"/>
      <c r="D6" s="53">
        <v>50000</v>
      </c>
      <c r="E6" s="54"/>
      <c r="F6" s="54"/>
      <c r="G6" s="54"/>
      <c r="H6" s="54"/>
      <c r="I6" s="54"/>
      <c r="J6" s="10"/>
      <c r="K6" s="46" t="s">
        <v>159</v>
      </c>
    </row>
    <row r="7" spans="1:11" x14ac:dyDescent="0.15">
      <c r="A7" s="1"/>
      <c r="B7" s="43" t="s">
        <v>145</v>
      </c>
      <c r="C7" s="9"/>
      <c r="D7" s="47">
        <v>10000</v>
      </c>
      <c r="E7" s="48"/>
      <c r="F7" s="48"/>
      <c r="G7" s="48"/>
      <c r="H7" s="48"/>
      <c r="I7" s="48"/>
      <c r="J7" s="50"/>
      <c r="K7" s="42"/>
    </row>
    <row r="8" spans="1:11" x14ac:dyDescent="0.15">
      <c r="A8" s="1" t="s">
        <v>152</v>
      </c>
      <c r="B8" s="43"/>
      <c r="C8" s="9"/>
      <c r="D8" s="53">
        <f t="shared" ref="D8:I8" si="0">SUM(D6:D7)</f>
        <v>60000</v>
      </c>
      <c r="E8" s="53">
        <f t="shared" si="0"/>
        <v>0</v>
      </c>
      <c r="F8" s="53">
        <f t="shared" si="0"/>
        <v>0</v>
      </c>
      <c r="G8" s="53">
        <f t="shared" si="0"/>
        <v>0</v>
      </c>
      <c r="H8" s="53">
        <f t="shared" si="0"/>
        <v>0</v>
      </c>
      <c r="I8" s="53">
        <f t="shared" si="0"/>
        <v>0</v>
      </c>
      <c r="J8" s="10"/>
      <c r="K8" s="42"/>
    </row>
    <row r="9" spans="1:11" x14ac:dyDescent="0.15">
      <c r="B9" s="9"/>
      <c r="C9" s="9"/>
      <c r="D9" s="9"/>
      <c r="E9" s="7"/>
      <c r="F9" s="7"/>
      <c r="G9" s="7"/>
      <c r="H9" s="7"/>
      <c r="I9" s="7"/>
      <c r="J9" s="7"/>
    </row>
    <row r="10" spans="1:11" x14ac:dyDescent="0.15">
      <c r="A10" s="1" t="s">
        <v>153</v>
      </c>
      <c r="B10" s="9"/>
      <c r="C10" s="9"/>
      <c r="D10" s="9"/>
      <c r="E10" s="7"/>
      <c r="F10" s="7"/>
      <c r="G10" s="7"/>
      <c r="H10" s="7"/>
      <c r="I10" s="7"/>
      <c r="J10" s="7"/>
    </row>
    <row r="11" spans="1:11" x14ac:dyDescent="0.15">
      <c r="B11" s="36" t="s">
        <v>136</v>
      </c>
      <c r="C11" s="36"/>
      <c r="D11" s="55">
        <v>2000</v>
      </c>
      <c r="E11" s="187">
        <v>10000</v>
      </c>
      <c r="F11" s="187">
        <v>12000</v>
      </c>
      <c r="G11" s="187">
        <v>14000</v>
      </c>
      <c r="H11" s="187">
        <v>16000</v>
      </c>
      <c r="I11" s="187">
        <v>18000</v>
      </c>
      <c r="J11" s="7">
        <v>2321</v>
      </c>
      <c r="K11" s="147">
        <v>2311</v>
      </c>
    </row>
    <row r="12" spans="1:11" x14ac:dyDescent="0.15">
      <c r="B12" s="43" t="s">
        <v>231</v>
      </c>
      <c r="C12" s="36"/>
      <c r="D12" s="55"/>
      <c r="E12" s="69">
        <v>50000</v>
      </c>
      <c r="F12" s="69">
        <v>50000</v>
      </c>
      <c r="G12" s="69">
        <v>50000</v>
      </c>
      <c r="H12" s="69">
        <v>50000</v>
      </c>
      <c r="I12" s="69">
        <v>50000</v>
      </c>
      <c r="J12" s="7">
        <v>2321</v>
      </c>
      <c r="K12" s="147">
        <v>2511</v>
      </c>
    </row>
    <row r="13" spans="1:11" x14ac:dyDescent="0.15">
      <c r="B13" s="36" t="s">
        <v>137</v>
      </c>
      <c r="C13" s="36"/>
      <c r="D13" s="49"/>
      <c r="E13" s="193">
        <v>15000</v>
      </c>
      <c r="F13" s="193">
        <v>15000</v>
      </c>
      <c r="G13" s="193">
        <v>15000</v>
      </c>
      <c r="H13" s="193">
        <v>15000</v>
      </c>
      <c r="I13" s="193">
        <v>15000</v>
      </c>
      <c r="J13" s="51">
        <v>2321</v>
      </c>
      <c r="K13" s="148">
        <v>2311</v>
      </c>
    </row>
    <row r="14" spans="1:11" x14ac:dyDescent="0.15">
      <c r="A14" s="1" t="s">
        <v>154</v>
      </c>
      <c r="B14" s="36"/>
      <c r="C14" s="36"/>
      <c r="D14" s="55">
        <f t="shared" ref="D14:I14" si="1">SUM(D11:D13)</f>
        <v>2000</v>
      </c>
      <c r="E14" s="194">
        <f t="shared" si="1"/>
        <v>75000</v>
      </c>
      <c r="F14" s="194">
        <f t="shared" si="1"/>
        <v>77000</v>
      </c>
      <c r="G14" s="194">
        <f t="shared" si="1"/>
        <v>79000</v>
      </c>
      <c r="H14" s="194">
        <f t="shared" si="1"/>
        <v>81000</v>
      </c>
      <c r="I14" s="194">
        <f t="shared" si="1"/>
        <v>83000</v>
      </c>
      <c r="J14" s="7"/>
    </row>
    <row r="15" spans="1:11" x14ac:dyDescent="0.15">
      <c r="B15" s="9"/>
      <c r="C15" s="9"/>
      <c r="D15" s="9"/>
      <c r="E15" s="7"/>
      <c r="F15" s="7"/>
      <c r="G15" s="7"/>
      <c r="H15" s="7"/>
      <c r="I15" s="7"/>
      <c r="J15" s="7"/>
    </row>
    <row r="16" spans="1:11" x14ac:dyDescent="0.15">
      <c r="A16" s="1" t="s">
        <v>94</v>
      </c>
      <c r="B16" s="9"/>
      <c r="C16" s="9"/>
      <c r="D16" s="9"/>
      <c r="E16" s="7"/>
      <c r="F16" s="7"/>
      <c r="G16" s="7"/>
      <c r="H16" s="7"/>
      <c r="I16" s="7"/>
      <c r="J16" s="7"/>
    </row>
    <row r="17" spans="1:12" x14ac:dyDescent="0.15">
      <c r="B17" s="36" t="s">
        <v>135</v>
      </c>
      <c r="C17" s="36"/>
      <c r="D17" s="55"/>
      <c r="E17" s="187">
        <f>'6300 and 6400'!D6</f>
        <v>0</v>
      </c>
      <c r="F17" s="187">
        <v>0</v>
      </c>
      <c r="G17" s="187">
        <v>0</v>
      </c>
      <c r="H17" s="187">
        <v>0</v>
      </c>
      <c r="I17" s="187">
        <v>0</v>
      </c>
      <c r="J17" s="7">
        <v>1111</v>
      </c>
      <c r="K17" s="46" t="s">
        <v>158</v>
      </c>
    </row>
    <row r="18" spans="1:12" x14ac:dyDescent="0.15">
      <c r="B18" s="43" t="s">
        <v>230</v>
      </c>
      <c r="C18" s="36"/>
      <c r="D18" s="55"/>
      <c r="E18" s="193">
        <f>'6300 and 6400'!D16</f>
        <v>60000</v>
      </c>
      <c r="F18" s="193">
        <f>'6300 and 6400'!E16</f>
        <v>82500</v>
      </c>
      <c r="G18" s="193">
        <f>'6300 and 6400'!F16</f>
        <v>105000</v>
      </c>
      <c r="H18" s="193">
        <f>'6300 and 6400'!G16</f>
        <v>127500</v>
      </c>
      <c r="I18" s="193">
        <f>'6300 and 6400'!H16</f>
        <v>135000</v>
      </c>
      <c r="J18" s="7">
        <v>1221</v>
      </c>
      <c r="K18" s="46">
        <v>1221</v>
      </c>
    </row>
    <row r="19" spans="1:12" x14ac:dyDescent="0.15">
      <c r="A19" s="1" t="s">
        <v>155</v>
      </c>
      <c r="B19" s="43"/>
      <c r="C19" s="43"/>
      <c r="D19" s="56">
        <f t="shared" ref="D19:I19" si="2">SUM(D17:D18)</f>
        <v>0</v>
      </c>
      <c r="E19" s="190">
        <f t="shared" si="2"/>
        <v>60000</v>
      </c>
      <c r="F19" s="190">
        <f t="shared" si="2"/>
        <v>82500</v>
      </c>
      <c r="G19" s="190">
        <f t="shared" si="2"/>
        <v>105000</v>
      </c>
      <c r="H19" s="190">
        <f t="shared" si="2"/>
        <v>127500</v>
      </c>
      <c r="I19" s="190">
        <f t="shared" si="2"/>
        <v>135000</v>
      </c>
      <c r="J19" s="7"/>
      <c r="K19" s="83"/>
    </row>
    <row r="20" spans="1:12" x14ac:dyDescent="0.15">
      <c r="A20" s="42"/>
      <c r="B20" s="43"/>
      <c r="C20" s="43"/>
      <c r="D20" s="43"/>
      <c r="E20" s="7"/>
      <c r="F20" s="7"/>
      <c r="G20" s="7"/>
      <c r="H20" s="7"/>
      <c r="I20" s="7"/>
      <c r="J20" s="7"/>
      <c r="K20" s="83"/>
    </row>
    <row r="21" spans="1:12" x14ac:dyDescent="0.15">
      <c r="E21" s="7"/>
      <c r="F21" s="7"/>
      <c r="G21" s="7"/>
      <c r="H21" s="7"/>
      <c r="I21" s="7"/>
      <c r="J21" s="7"/>
      <c r="K21" s="83"/>
    </row>
    <row r="22" spans="1:12" x14ac:dyDescent="0.15">
      <c r="A22" s="1" t="s">
        <v>91</v>
      </c>
      <c r="E22" s="7"/>
      <c r="F22" s="7"/>
      <c r="G22" s="7"/>
      <c r="H22" s="7"/>
      <c r="I22" s="7"/>
      <c r="J22" s="7"/>
      <c r="K22" s="149"/>
    </row>
    <row r="23" spans="1:12" x14ac:dyDescent="0.15">
      <c r="A23" s="1"/>
      <c r="B23" s="42" t="s">
        <v>233</v>
      </c>
      <c r="D23" s="41">
        <v>10000</v>
      </c>
      <c r="E23" s="187"/>
      <c r="F23" s="187"/>
      <c r="G23" s="187">
        <f>'6300 and 6400'!F39</f>
        <v>52500</v>
      </c>
      <c r="H23" s="187">
        <f>'6300 and 6400'!G39</f>
        <v>63750</v>
      </c>
      <c r="I23" s="187">
        <f>'6300 and 6400'!H39</f>
        <v>67500</v>
      </c>
      <c r="J23" s="7">
        <v>2321</v>
      </c>
      <c r="K23" s="147">
        <v>2661</v>
      </c>
    </row>
    <row r="24" spans="1:12" x14ac:dyDescent="0.15">
      <c r="A24" s="1"/>
      <c r="E24" s="69"/>
      <c r="F24" s="69"/>
      <c r="G24" s="69"/>
      <c r="H24" s="69"/>
      <c r="I24" s="69"/>
      <c r="J24" s="7"/>
      <c r="K24" s="83"/>
    </row>
    <row r="25" spans="1:12" x14ac:dyDescent="0.15">
      <c r="A25" s="1" t="s">
        <v>71</v>
      </c>
      <c r="E25" s="69"/>
      <c r="F25" s="69"/>
      <c r="G25" s="69"/>
      <c r="H25" s="69"/>
      <c r="I25" s="69"/>
      <c r="J25" s="7"/>
      <c r="K25" s="83"/>
    </row>
    <row r="26" spans="1:12" x14ac:dyDescent="0.15">
      <c r="A26" s="1"/>
      <c r="B26" s="42" t="s">
        <v>195</v>
      </c>
      <c r="D26" s="41">
        <v>1000</v>
      </c>
      <c r="E26" s="69">
        <v>19392</v>
      </c>
      <c r="F26" s="69">
        <v>19392</v>
      </c>
      <c r="G26" s="69">
        <v>48000</v>
      </c>
      <c r="H26" s="69">
        <v>54000</v>
      </c>
      <c r="I26" s="69">
        <v>60000</v>
      </c>
      <c r="J26" s="7">
        <v>2541</v>
      </c>
      <c r="K26" s="149" t="s">
        <v>157</v>
      </c>
      <c r="L26" s="42"/>
    </row>
    <row r="27" spans="1:12" x14ac:dyDescent="0.15">
      <c r="A27" s="1"/>
      <c r="B27" s="42" t="s">
        <v>146</v>
      </c>
      <c r="E27" s="170">
        <v>2000</v>
      </c>
      <c r="F27" s="170">
        <v>2000</v>
      </c>
      <c r="G27" s="170">
        <f>'6300 and 6400'!F31</f>
        <v>5000</v>
      </c>
      <c r="H27" s="170">
        <f>'6300 and 6400'!G31</f>
        <v>5000</v>
      </c>
      <c r="I27" s="170">
        <f>'6300 and 6400'!H31</f>
        <v>5000</v>
      </c>
      <c r="J27" s="7">
        <v>2321</v>
      </c>
      <c r="K27" s="147">
        <v>2511</v>
      </c>
    </row>
    <row r="28" spans="1:12" x14ac:dyDescent="0.15">
      <c r="A28" s="1"/>
      <c r="B28" t="s">
        <v>142</v>
      </c>
      <c r="C28" s="37"/>
      <c r="D28">
        <v>1000</v>
      </c>
      <c r="E28" s="69"/>
      <c r="F28" s="69"/>
      <c r="G28" s="69">
        <v>6000</v>
      </c>
      <c r="H28" s="69">
        <v>6000</v>
      </c>
      <c r="I28" s="69">
        <v>6000</v>
      </c>
      <c r="J28" s="51">
        <v>2541</v>
      </c>
      <c r="K28" s="148">
        <v>2541</v>
      </c>
    </row>
    <row r="29" spans="1:12" x14ac:dyDescent="0.15">
      <c r="A29" s="1" t="s">
        <v>156</v>
      </c>
      <c r="B29" s="37"/>
      <c r="C29" s="37"/>
      <c r="D29" s="57">
        <f t="shared" ref="D29:I29" si="3">SUM(D26:D28)</f>
        <v>2000</v>
      </c>
      <c r="E29" s="195">
        <f>SUM(E26:E28)</f>
        <v>21392</v>
      </c>
      <c r="F29" s="195">
        <f t="shared" si="3"/>
        <v>21392</v>
      </c>
      <c r="G29" s="195">
        <f t="shared" si="3"/>
        <v>59000</v>
      </c>
      <c r="H29" s="195">
        <f t="shared" si="3"/>
        <v>65000</v>
      </c>
      <c r="I29" s="195">
        <f t="shared" si="3"/>
        <v>71000</v>
      </c>
      <c r="J29" s="7"/>
      <c r="K29" s="83"/>
    </row>
    <row r="30" spans="1:12" x14ac:dyDescent="0.15">
      <c r="A30" s="1"/>
      <c r="B30" s="37"/>
      <c r="C30" s="1"/>
      <c r="D30" s="37"/>
      <c r="E30" s="7"/>
      <c r="F30" s="7"/>
      <c r="G30" s="7"/>
      <c r="H30" s="7"/>
      <c r="I30" s="7"/>
      <c r="J30" s="52"/>
    </row>
    <row r="31" spans="1:12" ht="14" thickBot="1" x14ac:dyDescent="0.2">
      <c r="A31" s="1" t="s">
        <v>87</v>
      </c>
      <c r="D31" s="45">
        <f t="shared" ref="D31:I31" si="4">+D8+D14+D19+D23+D29</f>
        <v>74000</v>
      </c>
      <c r="E31" s="45">
        <f t="shared" si="4"/>
        <v>156392</v>
      </c>
      <c r="F31" s="45">
        <f t="shared" si="4"/>
        <v>180892</v>
      </c>
      <c r="G31" s="45">
        <f t="shared" si="4"/>
        <v>295500</v>
      </c>
      <c r="H31" s="45">
        <f t="shared" si="4"/>
        <v>337250</v>
      </c>
      <c r="I31" s="45">
        <f t="shared" si="4"/>
        <v>356500</v>
      </c>
    </row>
    <row r="32" spans="1:12" ht="14" thickTop="1" x14ac:dyDescent="0.15"/>
  </sheetData>
  <mergeCells count="1">
    <mergeCell ref="A1:I1"/>
  </mergeCells>
  <phoneticPr fontId="5" type="noConversion"/>
  <printOptions horizontalCentered="1"/>
  <pageMargins left="0.75" right="0.75" top="1" bottom="1" header="0.5" footer="0.5"/>
  <pageSetup scale="77" orientation="landscape"/>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38"/>
  <sheetViews>
    <sheetView zoomScale="110" zoomScaleNormal="110" workbookViewId="0">
      <selection activeCell="M45" sqref="M45"/>
    </sheetView>
  </sheetViews>
  <sheetFormatPr baseColWidth="10" defaultColWidth="8.83203125" defaultRowHeight="13" x14ac:dyDescent="0.15"/>
  <cols>
    <col min="1" max="1" width="16.1640625" bestFit="1" customWidth="1"/>
    <col min="2" max="2" width="11.33203125" bestFit="1" customWidth="1"/>
    <col min="3" max="3" width="14" bestFit="1" customWidth="1"/>
    <col min="4" max="4" width="0" hidden="1" customWidth="1"/>
    <col min="5" max="5" width="19.6640625" hidden="1" customWidth="1"/>
    <col min="6" max="6" width="0" hidden="1" customWidth="1"/>
    <col min="7" max="7" width="10.5" hidden="1" customWidth="1"/>
    <col min="8" max="9" width="0" hidden="1" customWidth="1"/>
  </cols>
  <sheetData>
    <row r="1" spans="1:8" ht="25.5" customHeight="1" thickTop="1" thickBot="1" x14ac:dyDescent="0.2">
      <c r="A1" s="431" t="s">
        <v>206</v>
      </c>
      <c r="B1" s="432"/>
      <c r="C1" s="433"/>
      <c r="D1">
        <v>2321</v>
      </c>
      <c r="E1" s="127" t="s">
        <v>210</v>
      </c>
      <c r="F1" s="128"/>
      <c r="G1" s="128" t="s">
        <v>211</v>
      </c>
      <c r="H1" s="129" t="s">
        <v>212</v>
      </c>
    </row>
    <row r="2" spans="1:8" x14ac:dyDescent="0.15">
      <c r="A2" s="119" t="s">
        <v>208</v>
      </c>
      <c r="B2" s="120">
        <v>7.6499999999999999E-2</v>
      </c>
      <c r="C2" s="121"/>
      <c r="E2" s="130" t="s">
        <v>137</v>
      </c>
      <c r="F2" s="8"/>
      <c r="G2" s="8">
        <v>10000</v>
      </c>
      <c r="H2" s="131">
        <v>6300</v>
      </c>
    </row>
    <row r="3" spans="1:8" x14ac:dyDescent="0.15">
      <c r="A3" s="119" t="s">
        <v>283</v>
      </c>
      <c r="B3" s="120">
        <v>0.14499999999999999</v>
      </c>
      <c r="C3" s="121"/>
      <c r="E3" s="130" t="s">
        <v>136</v>
      </c>
      <c r="F3" s="8"/>
      <c r="G3" s="132">
        <v>10000</v>
      </c>
      <c r="H3" s="131">
        <v>6300</v>
      </c>
    </row>
    <row r="4" spans="1:8" x14ac:dyDescent="0.15">
      <c r="A4" s="119"/>
      <c r="B4" s="120"/>
      <c r="C4" s="121"/>
      <c r="E4" s="130" t="s">
        <v>213</v>
      </c>
      <c r="F4" s="8"/>
      <c r="G4" s="132">
        <f>3712+1165+1200</f>
        <v>6077</v>
      </c>
      <c r="H4" s="131">
        <v>6300</v>
      </c>
    </row>
    <row r="5" spans="1:8" x14ac:dyDescent="0.15">
      <c r="A5" s="122"/>
      <c r="B5" s="120"/>
      <c r="C5" s="121"/>
      <c r="E5" s="130" t="s">
        <v>214</v>
      </c>
      <c r="F5" s="8"/>
      <c r="G5" s="132"/>
      <c r="H5" s="131">
        <v>6200</v>
      </c>
    </row>
    <row r="6" spans="1:8" x14ac:dyDescent="0.15">
      <c r="A6" s="119" t="s">
        <v>193</v>
      </c>
      <c r="B6" s="120">
        <f>SUM(B2:B5)</f>
        <v>0.22149999999999997</v>
      </c>
      <c r="C6" s="121"/>
      <c r="E6" s="130" t="s">
        <v>215</v>
      </c>
      <c r="F6" s="8"/>
      <c r="G6" s="132">
        <v>24000</v>
      </c>
      <c r="H6" s="131">
        <v>6300</v>
      </c>
    </row>
    <row r="7" spans="1:8" x14ac:dyDescent="0.15">
      <c r="A7" s="122"/>
      <c r="B7" s="8"/>
      <c r="C7" s="121"/>
      <c r="E7" s="130" t="s">
        <v>216</v>
      </c>
      <c r="F7" s="8"/>
      <c r="G7" s="132">
        <v>20000</v>
      </c>
      <c r="H7" s="131">
        <v>6300</v>
      </c>
    </row>
    <row r="8" spans="1:8" ht="14" thickBot="1" x14ac:dyDescent="0.2">
      <c r="A8" s="123" t="s">
        <v>209</v>
      </c>
      <c r="B8" s="278">
        <v>5856</v>
      </c>
      <c r="C8" s="125"/>
      <c r="E8" s="133" t="s">
        <v>217</v>
      </c>
      <c r="F8" s="134"/>
      <c r="G8" s="135">
        <v>4500</v>
      </c>
      <c r="H8" s="136">
        <v>6300</v>
      </c>
    </row>
    <row r="9" spans="1:8" x14ac:dyDescent="0.15">
      <c r="E9" s="137" t="s">
        <v>218</v>
      </c>
      <c r="G9" s="132">
        <v>12000</v>
      </c>
    </row>
    <row r="10" spans="1:8" x14ac:dyDescent="0.15">
      <c r="E10" s="137" t="s">
        <v>219</v>
      </c>
      <c r="G10" s="132">
        <v>5000</v>
      </c>
    </row>
    <row r="11" spans="1:8" x14ac:dyDescent="0.15">
      <c r="E11" s="137" t="s">
        <v>220</v>
      </c>
      <c r="G11" s="132">
        <v>6000</v>
      </c>
    </row>
    <row r="12" spans="1:8" hidden="1" x14ac:dyDescent="0.15">
      <c r="E12" s="137" t="s">
        <v>221</v>
      </c>
      <c r="G12" s="132">
        <v>10000</v>
      </c>
    </row>
    <row r="13" spans="1:8" hidden="1" x14ac:dyDescent="0.15">
      <c r="A13" s="150"/>
      <c r="B13" s="126"/>
      <c r="C13" s="126"/>
      <c r="E13" s="137" t="s">
        <v>222</v>
      </c>
      <c r="G13" s="132">
        <v>6000</v>
      </c>
    </row>
    <row r="14" spans="1:8" hidden="1" x14ac:dyDescent="0.15">
      <c r="A14" s="150"/>
      <c r="B14" s="126"/>
      <c r="C14" s="126"/>
    </row>
    <row r="15" spans="1:8" hidden="1" x14ac:dyDescent="0.15">
      <c r="E15">
        <v>20000</v>
      </c>
      <c r="F15" s="138" t="s">
        <v>223</v>
      </c>
    </row>
    <row r="16" spans="1:8" hidden="1" x14ac:dyDescent="0.15">
      <c r="A16" s="139" t="s">
        <v>190</v>
      </c>
      <c r="B16" s="140" t="s">
        <v>191</v>
      </c>
      <c r="C16" s="140" t="s">
        <v>192</v>
      </c>
    </row>
    <row r="17" spans="1:3" hidden="1" x14ac:dyDescent="0.15">
      <c r="A17" s="141" t="s">
        <v>194</v>
      </c>
      <c r="B17" s="64">
        <v>20000</v>
      </c>
      <c r="C17" s="8" t="s">
        <v>95</v>
      </c>
    </row>
    <row r="18" spans="1:3" hidden="1" x14ac:dyDescent="0.15">
      <c r="A18" s="141" t="s">
        <v>195</v>
      </c>
      <c r="B18" s="64">
        <v>4000</v>
      </c>
      <c r="C18" s="8">
        <v>48000</v>
      </c>
    </row>
    <row r="19" spans="1:3" hidden="1" x14ac:dyDescent="0.15">
      <c r="A19" s="141" t="s">
        <v>196</v>
      </c>
      <c r="B19" s="64">
        <v>2000</v>
      </c>
      <c r="C19" s="8">
        <v>24000</v>
      </c>
    </row>
    <row r="20" spans="1:3" hidden="1" x14ac:dyDescent="0.15">
      <c r="A20" s="141" t="s">
        <v>197</v>
      </c>
      <c r="B20" s="64">
        <v>2000</v>
      </c>
      <c r="C20" s="8">
        <v>24000</v>
      </c>
    </row>
    <row r="21" spans="1:3" hidden="1" x14ac:dyDescent="0.15">
      <c r="A21" s="141" t="s">
        <v>198</v>
      </c>
      <c r="B21" s="64">
        <v>500</v>
      </c>
      <c r="C21" s="8">
        <v>6000</v>
      </c>
    </row>
    <row r="22" spans="1:3" hidden="1" x14ac:dyDescent="0.15">
      <c r="A22" s="141" t="s">
        <v>224</v>
      </c>
      <c r="B22" s="64">
        <v>500</v>
      </c>
      <c r="C22" s="8">
        <v>6000</v>
      </c>
    </row>
    <row r="23" spans="1:3" hidden="1" x14ac:dyDescent="0.15">
      <c r="A23" s="141" t="s">
        <v>199</v>
      </c>
      <c r="B23" s="64">
        <v>600</v>
      </c>
      <c r="C23" s="8">
        <v>7200</v>
      </c>
    </row>
    <row r="24" spans="1:3" hidden="1" x14ac:dyDescent="0.15">
      <c r="A24" s="141" t="s">
        <v>200</v>
      </c>
      <c r="B24" s="64">
        <v>200</v>
      </c>
      <c r="C24" s="8">
        <v>2400</v>
      </c>
    </row>
    <row r="25" spans="1:3" hidden="1" x14ac:dyDescent="0.15">
      <c r="A25" s="141" t="s">
        <v>201</v>
      </c>
      <c r="B25" s="64">
        <v>833</v>
      </c>
      <c r="C25" s="8">
        <v>10000</v>
      </c>
    </row>
    <row r="26" spans="1:3" hidden="1" x14ac:dyDescent="0.15">
      <c r="A26" s="141" t="s">
        <v>202</v>
      </c>
      <c r="B26" s="64"/>
      <c r="C26" s="8">
        <v>2000</v>
      </c>
    </row>
    <row r="27" spans="1:3" hidden="1" x14ac:dyDescent="0.15">
      <c r="A27" s="141" t="s">
        <v>203</v>
      </c>
      <c r="B27" s="64">
        <v>500</v>
      </c>
      <c r="C27" s="8">
        <v>6000</v>
      </c>
    </row>
    <row r="28" spans="1:3" hidden="1" x14ac:dyDescent="0.15">
      <c r="A28" s="141" t="s">
        <v>204</v>
      </c>
      <c r="B28" s="64">
        <v>100</v>
      </c>
      <c r="C28" s="8">
        <v>1200</v>
      </c>
    </row>
    <row r="29" spans="1:3" hidden="1" x14ac:dyDescent="0.15">
      <c r="A29" s="141" t="s">
        <v>225</v>
      </c>
      <c r="B29" s="64"/>
      <c r="C29" s="142">
        <v>6000</v>
      </c>
    </row>
    <row r="30" spans="1:3" hidden="1" x14ac:dyDescent="0.15">
      <c r="A30" s="141" t="s">
        <v>226</v>
      </c>
      <c r="B30" s="64"/>
      <c r="C30" s="8"/>
    </row>
    <row r="31" spans="1:3" hidden="1" x14ac:dyDescent="0.15">
      <c r="A31" s="141" t="s">
        <v>227</v>
      </c>
      <c r="B31" s="64"/>
      <c r="C31" s="8"/>
    </row>
    <row r="32" spans="1:3" hidden="1" x14ac:dyDescent="0.15">
      <c r="A32" s="141" t="s">
        <v>205</v>
      </c>
      <c r="B32" s="64">
        <v>2000</v>
      </c>
      <c r="C32" s="8">
        <v>24000</v>
      </c>
    </row>
    <row r="33" spans="1:3" ht="14" hidden="1" thickBot="1" x14ac:dyDescent="0.2">
      <c r="A33" s="143" t="s">
        <v>228</v>
      </c>
      <c r="B33" s="124">
        <v>26500</v>
      </c>
      <c r="C33" s="124">
        <v>10000</v>
      </c>
    </row>
    <row r="34" spans="1:3" hidden="1" x14ac:dyDescent="0.15"/>
    <row r="35" spans="1:3" hidden="1" x14ac:dyDescent="0.15"/>
    <row r="36" spans="1:3" hidden="1" x14ac:dyDescent="0.15"/>
    <row r="37" spans="1:3" hidden="1" x14ac:dyDescent="0.15"/>
    <row r="38" spans="1:3" hidden="1" x14ac:dyDescent="0.15"/>
  </sheetData>
  <mergeCells count="1">
    <mergeCell ref="A1:C1"/>
  </mergeCells>
  <pageMargins left="0.7" right="0.7" top="0.75" bottom="0.75" header="0.3" footer="0.3"/>
  <pageSetup orientation="portrait" horizontalDpi="0" verticalDpi="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3"/>
  <dimension ref="A1:J38"/>
  <sheetViews>
    <sheetView topLeftCell="A2" zoomScaleNormal="100" workbookViewId="0">
      <selection activeCell="I26" sqref="I26"/>
    </sheetView>
  </sheetViews>
  <sheetFormatPr baseColWidth="10" defaultColWidth="8.83203125" defaultRowHeight="16" x14ac:dyDescent="0.2"/>
  <cols>
    <col min="1" max="2" width="8.83203125" style="19"/>
    <col min="3" max="3" width="20.5" style="19" customWidth="1"/>
    <col min="4" max="4" width="47.6640625" style="19" bestFit="1" customWidth="1"/>
    <col min="5" max="5" width="1.5" style="19" customWidth="1"/>
    <col min="6" max="6" width="14.33203125" style="19" bestFit="1" customWidth="1"/>
    <col min="7" max="8" width="12.6640625" style="19" bestFit="1" customWidth="1"/>
    <col min="9" max="9" width="12.5" style="19" customWidth="1"/>
    <col min="10" max="10" width="12.6640625" style="19" bestFit="1" customWidth="1"/>
    <col min="11" max="11" width="3.1640625" style="19" customWidth="1"/>
    <col min="12" max="13" width="8.83203125" style="19"/>
    <col min="14" max="16" width="10.33203125" style="19" bestFit="1" customWidth="1"/>
    <col min="17" max="16384" width="8.83203125" style="19"/>
  </cols>
  <sheetData>
    <row r="1" spans="1:10" x14ac:dyDescent="0.2">
      <c r="A1" s="434" t="s">
        <v>335</v>
      </c>
      <c r="B1" s="434"/>
      <c r="C1" s="434"/>
      <c r="D1" s="434"/>
      <c r="E1" s="434"/>
      <c r="F1" s="434"/>
      <c r="G1" s="434"/>
      <c r="H1" s="434"/>
      <c r="I1" s="434"/>
      <c r="J1" s="434"/>
    </row>
    <row r="2" spans="1:10" ht="40" customHeight="1" x14ac:dyDescent="0.2">
      <c r="A2" s="406" t="s">
        <v>406</v>
      </c>
      <c r="B2" s="406"/>
      <c r="C2" s="406"/>
      <c r="D2" s="406"/>
      <c r="E2" s="406"/>
      <c r="F2" s="406"/>
      <c r="G2" s="406"/>
      <c r="H2" s="406"/>
      <c r="I2" s="406"/>
      <c r="J2" s="406"/>
    </row>
    <row r="3" spans="1:10" ht="21.75" customHeight="1" x14ac:dyDescent="0.2">
      <c r="A3" s="22" t="s">
        <v>72</v>
      </c>
      <c r="C3" s="22"/>
      <c r="F3" s="4" t="s">
        <v>403</v>
      </c>
      <c r="G3" s="4" t="s">
        <v>404</v>
      </c>
      <c r="H3" s="4" t="s">
        <v>336</v>
      </c>
      <c r="I3" s="4" t="s">
        <v>337</v>
      </c>
      <c r="J3" s="4" t="s">
        <v>405</v>
      </c>
    </row>
    <row r="4" spans="1:10" x14ac:dyDescent="0.2">
      <c r="A4" s="328" t="s">
        <v>75</v>
      </c>
      <c r="B4" s="328" t="s">
        <v>76</v>
      </c>
      <c r="C4" s="25"/>
      <c r="D4" s="21"/>
      <c r="E4" s="20"/>
      <c r="F4" s="21" t="s">
        <v>67</v>
      </c>
      <c r="G4" s="21" t="s">
        <v>96</v>
      </c>
      <c r="H4" s="21" t="s">
        <v>67</v>
      </c>
      <c r="I4" s="21" t="s">
        <v>67</v>
      </c>
      <c r="J4" s="21" t="s">
        <v>67</v>
      </c>
    </row>
    <row r="5" spans="1:10" x14ac:dyDescent="0.2">
      <c r="C5" s="25"/>
      <c r="D5" s="20"/>
      <c r="E5" s="20"/>
      <c r="F5" s="20"/>
      <c r="G5" s="20"/>
      <c r="H5" s="20"/>
      <c r="I5" s="20"/>
      <c r="J5" s="20"/>
    </row>
    <row r="6" spans="1:10" x14ac:dyDescent="0.2">
      <c r="A6" s="19">
        <v>5113</v>
      </c>
      <c r="C6" s="22" t="s">
        <v>344</v>
      </c>
      <c r="D6" s="20"/>
      <c r="E6" s="20"/>
      <c r="F6" s="331">
        <f>'REVENUE CALC'!I3*1259</f>
        <v>275155.96514137933</v>
      </c>
      <c r="G6" s="165">
        <f>1259*'REVENUE CALC'!I4</f>
        <v>414400.01587686781</v>
      </c>
      <c r="H6" s="165">
        <f>1259*'REVENUE CALC'!I5</f>
        <v>529221.8453264368</v>
      </c>
      <c r="I6" s="165">
        <f>1259*'REVENUE CALC'!I6</f>
        <v>649385.76915100589</v>
      </c>
      <c r="J6" s="165">
        <f>1259*'REVENUE CALC'!I7</f>
        <v>701785.21294022992</v>
      </c>
    </row>
    <row r="7" spans="1:10" x14ac:dyDescent="0.2">
      <c r="A7" s="272">
        <v>5140</v>
      </c>
      <c r="B7" s="273"/>
      <c r="C7" s="272" t="s">
        <v>62</v>
      </c>
      <c r="D7" s="273"/>
      <c r="E7" s="273"/>
      <c r="F7" s="274"/>
      <c r="G7" s="274"/>
      <c r="H7" s="274"/>
      <c r="I7" s="274"/>
      <c r="J7" s="274"/>
    </row>
    <row r="8" spans="1:10" x14ac:dyDescent="0.2">
      <c r="A8" s="22"/>
      <c r="B8" s="19">
        <v>5141</v>
      </c>
      <c r="C8" s="22"/>
      <c r="D8" s="19" t="s">
        <v>77</v>
      </c>
      <c r="F8" s="23"/>
    </row>
    <row r="9" spans="1:10" x14ac:dyDescent="0.2">
      <c r="A9" s="272">
        <v>5150</v>
      </c>
      <c r="B9" s="273"/>
      <c r="C9" s="272" t="s">
        <v>63</v>
      </c>
      <c r="D9" s="332"/>
      <c r="E9" s="273"/>
      <c r="F9" s="273"/>
      <c r="G9" s="273"/>
      <c r="H9" s="273"/>
      <c r="I9" s="273"/>
      <c r="J9" s="273"/>
    </row>
    <row r="10" spans="1:10" x14ac:dyDescent="0.2">
      <c r="A10" s="22"/>
      <c r="B10" s="19">
        <v>5151</v>
      </c>
      <c r="C10" s="22"/>
      <c r="D10" s="19" t="s">
        <v>78</v>
      </c>
    </row>
    <row r="11" spans="1:10" x14ac:dyDescent="0.2">
      <c r="A11" s="272">
        <v>5160</v>
      </c>
      <c r="B11" s="273"/>
      <c r="C11" s="272" t="s">
        <v>64</v>
      </c>
      <c r="D11" s="273"/>
      <c r="E11" s="273"/>
      <c r="F11" s="273"/>
      <c r="G11" s="273"/>
      <c r="H11" s="273"/>
      <c r="I11" s="273"/>
      <c r="J11" s="273"/>
    </row>
    <row r="12" spans="1:10" x14ac:dyDescent="0.2">
      <c r="A12" s="22"/>
      <c r="B12" s="19">
        <v>5161</v>
      </c>
      <c r="C12" s="22"/>
      <c r="D12" s="19" t="s">
        <v>79</v>
      </c>
    </row>
    <row r="13" spans="1:10" x14ac:dyDescent="0.2">
      <c r="A13" s="22"/>
      <c r="B13" s="19">
        <v>5165</v>
      </c>
      <c r="C13" s="22"/>
      <c r="D13" s="19" t="s">
        <v>51</v>
      </c>
    </row>
    <row r="14" spans="1:10" x14ac:dyDescent="0.2">
      <c r="A14" s="272">
        <v>5170</v>
      </c>
      <c r="B14" s="273"/>
      <c r="C14" s="272" t="s">
        <v>61</v>
      </c>
      <c r="D14" s="273"/>
      <c r="E14" s="273"/>
      <c r="F14" s="273"/>
      <c r="G14" s="273"/>
      <c r="H14" s="273"/>
      <c r="I14" s="273"/>
      <c r="J14" s="273"/>
    </row>
    <row r="15" spans="1:10" x14ac:dyDescent="0.2">
      <c r="A15" s="22"/>
      <c r="B15" s="19">
        <v>5171</v>
      </c>
      <c r="C15" s="25"/>
      <c r="D15" s="19" t="s">
        <v>52</v>
      </c>
    </row>
    <row r="16" spans="1:10" x14ac:dyDescent="0.2">
      <c r="A16" s="22"/>
      <c r="B16" s="19">
        <v>5172</v>
      </c>
      <c r="C16" s="22"/>
      <c r="D16" s="19" t="s">
        <v>53</v>
      </c>
    </row>
    <row r="17" spans="1:10" x14ac:dyDescent="0.2">
      <c r="A17" s="22"/>
      <c r="B17" s="19">
        <v>5173</v>
      </c>
      <c r="C17" s="25"/>
      <c r="D17" s="19" t="s">
        <v>54</v>
      </c>
    </row>
    <row r="18" spans="1:10" x14ac:dyDescent="0.2">
      <c r="A18" s="22"/>
      <c r="B18" s="19">
        <v>5179</v>
      </c>
      <c r="C18" s="22"/>
      <c r="D18" s="19" t="s">
        <v>55</v>
      </c>
    </row>
    <row r="19" spans="1:10" x14ac:dyDescent="0.2">
      <c r="A19" s="272">
        <v>5180</v>
      </c>
      <c r="B19" s="273"/>
      <c r="C19" s="272" t="s">
        <v>65</v>
      </c>
      <c r="D19" s="273"/>
      <c r="E19" s="273"/>
      <c r="F19" s="273"/>
      <c r="G19" s="273"/>
      <c r="H19" s="273"/>
      <c r="I19" s="273"/>
      <c r="J19" s="273"/>
    </row>
    <row r="20" spans="1:10" x14ac:dyDescent="0.2">
      <c r="A20" s="22"/>
      <c r="B20" s="19">
        <v>5181</v>
      </c>
      <c r="C20" s="22"/>
      <c r="D20" s="19" t="s">
        <v>56</v>
      </c>
    </row>
    <row r="21" spans="1:10" x14ac:dyDescent="0.2">
      <c r="A21" s="272">
        <v>5190</v>
      </c>
      <c r="B21" s="273"/>
      <c r="C21" s="272" t="s">
        <v>66</v>
      </c>
      <c r="D21" s="273"/>
      <c r="E21" s="273"/>
      <c r="F21" s="273"/>
      <c r="G21" s="273"/>
      <c r="H21" s="273"/>
      <c r="I21" s="273"/>
      <c r="J21" s="273"/>
    </row>
    <row r="22" spans="1:10" x14ac:dyDescent="0.2">
      <c r="A22" s="22"/>
      <c r="B22" s="19">
        <v>5191</v>
      </c>
      <c r="C22" s="22"/>
      <c r="D22" s="19" t="s">
        <v>57</v>
      </c>
    </row>
    <row r="23" spans="1:10" x14ac:dyDescent="0.2">
      <c r="A23" s="22"/>
      <c r="B23" s="19">
        <v>5192</v>
      </c>
      <c r="C23" s="22"/>
      <c r="D23" s="19" t="s">
        <v>407</v>
      </c>
      <c r="F23" s="261">
        <v>156000</v>
      </c>
      <c r="G23" s="261">
        <v>156000</v>
      </c>
    </row>
    <row r="24" spans="1:10" x14ac:dyDescent="0.2">
      <c r="A24" s="22"/>
      <c r="B24" s="19">
        <v>5192</v>
      </c>
      <c r="C24" s="22"/>
      <c r="D24" s="19" t="s">
        <v>408</v>
      </c>
      <c r="F24" s="261">
        <v>116000</v>
      </c>
    </row>
    <row r="25" spans="1:10" x14ac:dyDescent="0.2">
      <c r="A25" s="22"/>
      <c r="B25" s="19">
        <v>5192</v>
      </c>
      <c r="C25" s="22"/>
      <c r="D25" s="19" t="s">
        <v>409</v>
      </c>
      <c r="F25" s="261">
        <v>132000</v>
      </c>
      <c r="G25" s="261">
        <v>132000</v>
      </c>
    </row>
    <row r="26" spans="1:10" x14ac:dyDescent="0.2">
      <c r="A26" s="22"/>
      <c r="B26" s="19">
        <v>5192</v>
      </c>
      <c r="C26" s="22"/>
      <c r="F26" s="261"/>
      <c r="G26" s="261"/>
      <c r="H26" s="261"/>
    </row>
    <row r="27" spans="1:10" x14ac:dyDescent="0.2">
      <c r="A27" s="22"/>
      <c r="B27" s="19">
        <v>5192</v>
      </c>
      <c r="C27" s="22"/>
      <c r="D27" s="19" t="s">
        <v>58</v>
      </c>
      <c r="F27" s="259"/>
      <c r="G27" s="261"/>
      <c r="H27" s="261"/>
    </row>
    <row r="28" spans="1:10" x14ac:dyDescent="0.2">
      <c r="A28" s="22"/>
      <c r="B28" s="19">
        <v>5195</v>
      </c>
      <c r="C28" s="22"/>
      <c r="D28" s="19" t="s">
        <v>59</v>
      </c>
    </row>
    <row r="29" spans="1:10" x14ac:dyDescent="0.2">
      <c r="A29" s="22"/>
      <c r="B29" s="19">
        <v>5196</v>
      </c>
      <c r="C29" s="22"/>
      <c r="D29" s="19" t="s">
        <v>60</v>
      </c>
    </row>
    <row r="30" spans="1:10" x14ac:dyDescent="0.2">
      <c r="A30" s="22"/>
      <c r="B30" s="19">
        <v>5198</v>
      </c>
      <c r="C30" s="22"/>
      <c r="F30" s="259"/>
    </row>
    <row r="31" spans="1:10" x14ac:dyDescent="0.2">
      <c r="A31" s="22"/>
    </row>
    <row r="32" spans="1:10" x14ac:dyDescent="0.2">
      <c r="A32" s="22">
        <v>5199</v>
      </c>
      <c r="B32" s="22"/>
      <c r="C32" s="22"/>
      <c r="D32" s="22" t="s">
        <v>68</v>
      </c>
      <c r="E32" s="22"/>
      <c r="F32" s="28">
        <f>SUM(F6:F29)</f>
        <v>679155.96514137927</v>
      </c>
      <c r="G32" s="28">
        <f>SUM(G6,G10,G12,G13,G15,G16,G17,G18,G20,G22,G26,G27,G29,G28,G30,G23,G25)</f>
        <v>702400.01587686781</v>
      </c>
      <c r="H32" s="28">
        <f>SUM(H6,H10,H12,H13,H15,H16,H17,H18,H20,H22,H27,H29,H28,H30,H26,H25,H24,H23)</f>
        <v>529221.8453264368</v>
      </c>
      <c r="I32" s="28">
        <f>SUM(I6,I10,I12,I13,I15,I16,I17,I18,I20,I22,I27,I29,I28,I30,I23:I26)</f>
        <v>649385.76915100589</v>
      </c>
      <c r="J32" s="28">
        <f>SUM(J6,J10,J12,J13,J15,J16,J17,J18,J20,J22,J27,J29,J28,J30)</f>
        <v>701785.21294022992</v>
      </c>
    </row>
    <row r="38" spans="6:8" x14ac:dyDescent="0.2">
      <c r="F38" s="259"/>
      <c r="G38" s="261"/>
      <c r="H38" s="261"/>
    </row>
  </sheetData>
  <mergeCells count="2">
    <mergeCell ref="A1:J1"/>
    <mergeCell ref="A2:J2"/>
  </mergeCells>
  <phoneticPr fontId="6" type="noConversion"/>
  <printOptions horizontalCentered="1"/>
  <pageMargins left="0.5" right="0.5" top="1" bottom="1" header="0.5" footer="0.5"/>
  <pageSetup scale="77" orientation="landscape" horizontalDpi="4294967292" verticalDpi="429496729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4"/>
  <dimension ref="A1:O36"/>
  <sheetViews>
    <sheetView zoomScale="120" zoomScaleNormal="120" workbookViewId="0">
      <selection activeCell="J44" sqref="J44"/>
    </sheetView>
  </sheetViews>
  <sheetFormatPr baseColWidth="10" defaultColWidth="8.83203125" defaultRowHeight="16" x14ac:dyDescent="0.2"/>
  <cols>
    <col min="1" max="2" width="8.83203125" style="19"/>
    <col min="3" max="3" width="15.6640625" style="19" customWidth="1"/>
    <col min="4" max="4" width="40.5" style="19" customWidth="1"/>
    <col min="5" max="5" width="1.5" style="19" customWidth="1"/>
    <col min="6" max="10" width="14.6640625" style="19" bestFit="1" customWidth="1"/>
    <col min="11" max="11" width="1.5" style="19" customWidth="1"/>
    <col min="12" max="16384" width="8.83203125" style="19"/>
  </cols>
  <sheetData>
    <row r="1" spans="1:15" ht="34" customHeight="1" x14ac:dyDescent="0.2">
      <c r="A1" s="406" t="s">
        <v>335</v>
      </c>
      <c r="B1" s="406"/>
      <c r="C1" s="406"/>
      <c r="D1" s="406"/>
      <c r="E1" s="406"/>
      <c r="F1" s="406"/>
      <c r="G1" s="406"/>
      <c r="H1" s="406"/>
      <c r="I1" s="406"/>
      <c r="J1" s="406"/>
    </row>
    <row r="2" spans="1:15" x14ac:dyDescent="0.2">
      <c r="A2" s="34"/>
      <c r="B2" s="33"/>
      <c r="C2" s="33"/>
      <c r="D2" s="33"/>
      <c r="E2" s="33"/>
      <c r="F2" s="33"/>
      <c r="G2" s="33"/>
      <c r="H2" s="33"/>
      <c r="I2" s="33"/>
      <c r="J2" s="33"/>
    </row>
    <row r="3" spans="1:15" ht="25.5" customHeight="1" x14ac:dyDescent="0.2">
      <c r="A3" s="22" t="s">
        <v>42</v>
      </c>
      <c r="C3" s="22"/>
      <c r="F3" s="4" t="s">
        <v>403</v>
      </c>
      <c r="G3" s="4" t="s">
        <v>404</v>
      </c>
      <c r="H3" s="4" t="s">
        <v>336</v>
      </c>
      <c r="I3" s="4" t="s">
        <v>337</v>
      </c>
      <c r="J3" s="4" t="s">
        <v>405</v>
      </c>
    </row>
    <row r="4" spans="1:15" x14ac:dyDescent="0.2">
      <c r="A4" s="19" t="s">
        <v>75</v>
      </c>
      <c r="B4" s="19" t="s">
        <v>76</v>
      </c>
      <c r="C4" s="25"/>
      <c r="D4" s="21"/>
      <c r="E4" s="20"/>
      <c r="F4" s="3" t="s">
        <v>67</v>
      </c>
      <c r="G4" s="3" t="s">
        <v>96</v>
      </c>
      <c r="H4" s="3" t="s">
        <v>67</v>
      </c>
      <c r="I4" s="3" t="s">
        <v>67</v>
      </c>
      <c r="J4" s="3" t="s">
        <v>67</v>
      </c>
    </row>
    <row r="5" spans="1:15" x14ac:dyDescent="0.2">
      <c r="C5" s="25"/>
      <c r="D5" s="38" t="s">
        <v>141</v>
      </c>
      <c r="E5" s="38"/>
      <c r="F5" s="65">
        <f>Enrollment!C12</f>
        <v>200</v>
      </c>
      <c r="G5" s="65">
        <f>Enrollment!D12</f>
        <v>275</v>
      </c>
      <c r="H5" s="65">
        <f>Enrollment!E12</f>
        <v>350</v>
      </c>
      <c r="I5" s="65">
        <f>Enrollment!F12</f>
        <v>425</v>
      </c>
      <c r="J5" s="65">
        <f>Enrollment!G12</f>
        <v>450</v>
      </c>
    </row>
    <row r="6" spans="1:15" x14ac:dyDescent="0.2">
      <c r="A6" s="272">
        <v>5310</v>
      </c>
      <c r="B6" s="273"/>
      <c r="C6" s="272" t="s">
        <v>44</v>
      </c>
      <c r="D6" s="273"/>
      <c r="E6" s="273"/>
      <c r="F6" s="274"/>
      <c r="G6" s="274"/>
      <c r="H6" s="274"/>
      <c r="I6" s="274"/>
      <c r="J6" s="274"/>
    </row>
    <row r="7" spans="1:15" ht="18.75" customHeight="1" x14ac:dyDescent="0.2">
      <c r="A7" s="22"/>
      <c r="B7" s="19">
        <v>5311</v>
      </c>
      <c r="C7" s="22"/>
      <c r="D7" s="29" t="s">
        <v>101</v>
      </c>
      <c r="F7" s="165">
        <f>'REVENUE CALC'!L3</f>
        <v>1980511.0056482761</v>
      </c>
      <c r="G7" s="165">
        <f>'REVENUE CALC'!L4-G11</f>
        <v>2872785.9939445402</v>
      </c>
      <c r="H7" s="165">
        <f>'REVENUE CALC'!L5-H11</f>
        <v>3669255.3036919539</v>
      </c>
      <c r="I7" s="165">
        <f>'REVENUE CALC'!L6-I11</f>
        <v>4504175.8121893685</v>
      </c>
      <c r="J7" s="165">
        <f>'REVENUE CALC'!L7-J11</f>
        <v>4871337.7717747129</v>
      </c>
    </row>
    <row r="8" spans="1:15" ht="17" x14ac:dyDescent="0.2">
      <c r="A8" s="22"/>
      <c r="B8" s="19">
        <v>5312</v>
      </c>
      <c r="C8" s="22"/>
      <c r="D8" s="30" t="s">
        <v>45</v>
      </c>
      <c r="F8" s="24"/>
      <c r="G8" s="24"/>
      <c r="H8" s="24"/>
      <c r="I8" s="24"/>
      <c r="J8" s="24"/>
      <c r="K8" s="19" t="s">
        <v>95</v>
      </c>
    </row>
    <row r="9" spans="1:15" ht="34" x14ac:dyDescent="0.2">
      <c r="A9" s="22"/>
      <c r="B9" s="19">
        <v>5314</v>
      </c>
      <c r="C9" s="22"/>
      <c r="D9" s="30" t="s">
        <v>46</v>
      </c>
      <c r="F9" s="24"/>
      <c r="G9" s="24"/>
      <c r="H9" s="24"/>
      <c r="I9" s="24"/>
      <c r="J9" s="24"/>
    </row>
    <row r="10" spans="1:15" ht="34" x14ac:dyDescent="0.2">
      <c r="A10" s="22"/>
      <c r="B10" s="19">
        <v>5317</v>
      </c>
      <c r="C10" s="22"/>
      <c r="D10" s="30" t="s">
        <v>47</v>
      </c>
      <c r="F10" s="24"/>
      <c r="G10" s="24"/>
      <c r="H10" s="24"/>
      <c r="I10" s="24"/>
      <c r="J10" s="24"/>
    </row>
    <row r="11" spans="1:15" ht="17" x14ac:dyDescent="0.2">
      <c r="A11" s="22"/>
      <c r="B11" s="19">
        <v>5319</v>
      </c>
      <c r="C11" s="22"/>
      <c r="D11" s="30" t="s">
        <v>102</v>
      </c>
      <c r="F11" s="166">
        <f>430*'REVENUE CALC'!D3</f>
        <v>79980</v>
      </c>
      <c r="G11" s="166">
        <f>430*'REVENUE CALC'!D4</f>
        <v>109972.5</v>
      </c>
      <c r="H11" s="166">
        <f>430*'REVENUE CALC'!D5</f>
        <v>139965</v>
      </c>
      <c r="I11" s="166">
        <f>430*'REVENUE CALC'!D6</f>
        <v>169957.5</v>
      </c>
      <c r="J11" s="166">
        <f>430*'REVENUE CALC'!D7</f>
        <v>179955</v>
      </c>
    </row>
    <row r="12" spans="1:15" ht="17" hidden="1" x14ac:dyDescent="0.2">
      <c r="A12" s="22"/>
      <c r="B12" s="19">
        <v>5322</v>
      </c>
      <c r="C12" s="22"/>
      <c r="D12" s="30" t="s">
        <v>103</v>
      </c>
      <c r="F12" s="24"/>
      <c r="G12" s="24"/>
      <c r="H12" s="24"/>
      <c r="I12" s="24"/>
      <c r="J12" s="24"/>
    </row>
    <row r="13" spans="1:15" ht="34" hidden="1" x14ac:dyDescent="0.2">
      <c r="A13" s="22"/>
      <c r="B13" s="19">
        <v>5324</v>
      </c>
      <c r="C13" s="22"/>
      <c r="D13" s="30" t="s">
        <v>48</v>
      </c>
      <c r="F13" s="24"/>
      <c r="G13" s="24"/>
      <c r="H13" s="24"/>
      <c r="I13" s="24"/>
      <c r="J13" s="24"/>
      <c r="O13" s="35"/>
    </row>
    <row r="14" spans="1:15" hidden="1" x14ac:dyDescent="0.2">
      <c r="A14" s="26">
        <v>5330</v>
      </c>
      <c r="B14" s="27"/>
      <c r="C14" s="26" t="s">
        <v>49</v>
      </c>
      <c r="D14" s="31"/>
      <c r="E14" s="27"/>
      <c r="F14" s="27"/>
      <c r="G14" s="27"/>
      <c r="H14" s="27"/>
      <c r="I14" s="27"/>
      <c r="J14" s="27"/>
    </row>
    <row r="15" spans="1:15" ht="17" hidden="1" x14ac:dyDescent="0.2">
      <c r="A15" s="22"/>
      <c r="B15" s="19">
        <v>5332</v>
      </c>
      <c r="C15" s="22"/>
      <c r="D15" s="29" t="s">
        <v>104</v>
      </c>
    </row>
    <row r="16" spans="1:15" ht="17" hidden="1" x14ac:dyDescent="0.2">
      <c r="A16" s="22"/>
      <c r="B16" s="19">
        <v>5333</v>
      </c>
      <c r="C16" s="22"/>
      <c r="D16" s="29" t="s">
        <v>50</v>
      </c>
    </row>
    <row r="17" spans="1:4" ht="17" hidden="1" x14ac:dyDescent="0.2">
      <c r="A17" s="22"/>
      <c r="B17" s="19">
        <v>5337</v>
      </c>
      <c r="C17" s="22"/>
      <c r="D17" s="29" t="s">
        <v>105</v>
      </c>
    </row>
    <row r="18" spans="1:4" ht="17" hidden="1" x14ac:dyDescent="0.2">
      <c r="A18" s="22"/>
      <c r="B18" s="19">
        <v>5338</v>
      </c>
      <c r="C18" s="22"/>
      <c r="D18" s="29" t="s">
        <v>106</v>
      </c>
    </row>
    <row r="19" spans="1:4" ht="17" hidden="1" x14ac:dyDescent="0.2">
      <c r="A19" s="22"/>
      <c r="B19" s="19">
        <v>5353</v>
      </c>
      <c r="C19" s="22"/>
      <c r="D19" s="29" t="s">
        <v>35</v>
      </c>
    </row>
    <row r="20" spans="1:4" ht="17" hidden="1" x14ac:dyDescent="0.2">
      <c r="A20" s="22"/>
      <c r="B20" s="19">
        <v>5358</v>
      </c>
      <c r="C20" s="22"/>
      <c r="D20" s="29" t="s">
        <v>36</v>
      </c>
    </row>
    <row r="21" spans="1:4" ht="17" hidden="1" x14ac:dyDescent="0.2">
      <c r="A21" s="22"/>
      <c r="B21" s="19">
        <v>5359</v>
      </c>
      <c r="C21" s="22"/>
      <c r="D21" s="29" t="s">
        <v>107</v>
      </c>
    </row>
    <row r="22" spans="1:4" ht="17" hidden="1" x14ac:dyDescent="0.2">
      <c r="A22" s="22"/>
      <c r="B22" s="19">
        <v>5362</v>
      </c>
      <c r="C22" s="22"/>
      <c r="D22" s="29" t="s">
        <v>37</v>
      </c>
    </row>
    <row r="23" spans="1:4" ht="17" hidden="1" x14ac:dyDescent="0.2">
      <c r="A23" s="22"/>
      <c r="B23" s="19">
        <v>5364</v>
      </c>
      <c r="C23" s="22"/>
      <c r="D23" s="29" t="s">
        <v>108</v>
      </c>
    </row>
    <row r="24" spans="1:4" ht="34" hidden="1" x14ac:dyDescent="0.2">
      <c r="A24" s="22"/>
      <c r="B24" s="19">
        <v>5366</v>
      </c>
      <c r="C24" s="22"/>
      <c r="D24" s="29" t="s">
        <v>38</v>
      </c>
    </row>
    <row r="25" spans="1:4" ht="34" hidden="1" x14ac:dyDescent="0.2">
      <c r="A25" s="22"/>
      <c r="B25" s="19">
        <v>5367</v>
      </c>
      <c r="C25" s="22"/>
      <c r="D25" s="29" t="s">
        <v>39</v>
      </c>
    </row>
    <row r="26" spans="1:4" ht="17" hidden="1" x14ac:dyDescent="0.2">
      <c r="A26" s="22"/>
      <c r="B26" s="19">
        <v>5369</v>
      </c>
      <c r="C26" s="22"/>
      <c r="D26" s="29" t="s">
        <v>40</v>
      </c>
    </row>
    <row r="27" spans="1:4" ht="17" hidden="1" x14ac:dyDescent="0.2">
      <c r="A27" s="22"/>
      <c r="B27" s="19">
        <v>5371</v>
      </c>
      <c r="C27" s="22"/>
      <c r="D27" s="29" t="s">
        <v>41</v>
      </c>
    </row>
    <row r="28" spans="1:4" ht="34" hidden="1" x14ac:dyDescent="0.2">
      <c r="A28" s="22"/>
      <c r="B28" s="19">
        <v>5372</v>
      </c>
      <c r="C28" s="22"/>
      <c r="D28" s="29" t="s">
        <v>27</v>
      </c>
    </row>
    <row r="29" spans="1:4" ht="17" hidden="1" x14ac:dyDescent="0.2">
      <c r="A29" s="22"/>
      <c r="B29" s="19">
        <v>5376</v>
      </c>
      <c r="C29" s="22"/>
      <c r="D29" s="29" t="s">
        <v>28</v>
      </c>
    </row>
    <row r="30" spans="1:4" ht="34" hidden="1" x14ac:dyDescent="0.2">
      <c r="A30" s="22"/>
      <c r="B30" s="19">
        <v>5377</v>
      </c>
      <c r="C30" s="22"/>
      <c r="D30" s="29" t="s">
        <v>29</v>
      </c>
    </row>
    <row r="31" spans="1:4" ht="17" hidden="1" x14ac:dyDescent="0.2">
      <c r="A31" s="22"/>
      <c r="B31" s="19">
        <v>5381</v>
      </c>
      <c r="C31" s="22"/>
      <c r="D31" s="29" t="s">
        <v>109</v>
      </c>
    </row>
    <row r="32" spans="1:4" ht="17" hidden="1" x14ac:dyDescent="0.2">
      <c r="A32" s="22"/>
      <c r="B32" s="19">
        <v>5382</v>
      </c>
      <c r="C32" s="22"/>
      <c r="D32" s="29" t="s">
        <v>110</v>
      </c>
    </row>
    <row r="33" spans="1:10" ht="17" hidden="1" x14ac:dyDescent="0.2">
      <c r="A33" s="22"/>
      <c r="B33" s="19">
        <v>5397</v>
      </c>
      <c r="C33" s="22"/>
      <c r="D33" s="29" t="s">
        <v>30</v>
      </c>
    </row>
    <row r="34" spans="1:10" x14ac:dyDescent="0.2">
      <c r="A34" s="22"/>
      <c r="C34" s="22"/>
      <c r="D34" s="29"/>
      <c r="F34" s="165"/>
    </row>
    <row r="35" spans="1:10" x14ac:dyDescent="0.2">
      <c r="A35" s="22"/>
    </row>
    <row r="36" spans="1:10" x14ac:dyDescent="0.2">
      <c r="A36" s="22">
        <v>5399</v>
      </c>
      <c r="B36" s="22"/>
      <c r="C36" s="22"/>
      <c r="D36" s="22" t="s">
        <v>43</v>
      </c>
      <c r="E36" s="22"/>
      <c r="F36" s="28">
        <f>SUM(F7:F35)</f>
        <v>2060491.0056482761</v>
      </c>
      <c r="G36" s="28">
        <f t="shared" ref="G36:J36" si="0">SUM(G7:G35)</f>
        <v>2982758.4939445402</v>
      </c>
      <c r="H36" s="28">
        <f t="shared" si="0"/>
        <v>3809220.3036919539</v>
      </c>
      <c r="I36" s="28">
        <f t="shared" si="0"/>
        <v>4674133.3121893685</v>
      </c>
      <c r="J36" s="28">
        <f t="shared" si="0"/>
        <v>5051292.7717747129</v>
      </c>
    </row>
  </sheetData>
  <mergeCells count="1">
    <mergeCell ref="A1:J1"/>
  </mergeCells>
  <phoneticPr fontId="6" type="noConversion"/>
  <printOptions horizontalCentered="1"/>
  <pageMargins left="0.5" right="0.5" top="1" bottom="1" header="0.5" footer="0.5"/>
  <pageSetup scale="77" orientation="landscape" horizontalDpi="4294967292" verticalDpi="429496729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5"/>
  <dimension ref="A1:K56"/>
  <sheetViews>
    <sheetView zoomScale="120" zoomScaleNormal="120" workbookViewId="0">
      <selection activeCell="M13" sqref="M13"/>
    </sheetView>
  </sheetViews>
  <sheetFormatPr baseColWidth="10" defaultColWidth="8.83203125" defaultRowHeight="13" x14ac:dyDescent="0.15"/>
  <cols>
    <col min="3" max="3" width="14.1640625" customWidth="1"/>
    <col min="4" max="4" width="44.1640625" customWidth="1"/>
    <col min="5" max="5" width="1.5" customWidth="1"/>
    <col min="6" max="10" width="11.6640625" customWidth="1"/>
    <col min="11" max="11" width="3.1640625" customWidth="1"/>
  </cols>
  <sheetData>
    <row r="1" spans="1:11" ht="34" customHeight="1" x14ac:dyDescent="0.15">
      <c r="A1" s="406" t="s">
        <v>418</v>
      </c>
      <c r="B1" s="406"/>
      <c r="C1" s="406"/>
      <c r="D1" s="406"/>
      <c r="E1" s="406"/>
      <c r="F1" s="406"/>
      <c r="G1" s="406"/>
      <c r="H1" s="406"/>
      <c r="I1" s="406"/>
      <c r="J1" s="406"/>
    </row>
    <row r="2" spans="1:11" ht="16" x14ac:dyDescent="0.2">
      <c r="A2" s="34"/>
      <c r="B2" s="34"/>
      <c r="C2" s="59"/>
      <c r="D2" s="368" t="s">
        <v>276</v>
      </c>
      <c r="E2" s="34"/>
      <c r="F2" s="60">
        <f>Enrollment!C12</f>
        <v>200</v>
      </c>
      <c r="G2" s="60">
        <f>Enrollment!D12</f>
        <v>275</v>
      </c>
      <c r="H2" s="60">
        <f>Enrollment!E12</f>
        <v>350</v>
      </c>
      <c r="I2" s="60">
        <f>Enrollment!F12</f>
        <v>425</v>
      </c>
      <c r="J2" s="60">
        <f>Enrollment!G12</f>
        <v>450</v>
      </c>
    </row>
    <row r="4" spans="1:11" x14ac:dyDescent="0.15">
      <c r="A4" s="1"/>
      <c r="C4" s="1"/>
      <c r="F4" s="4" t="s">
        <v>403</v>
      </c>
      <c r="G4" s="4" t="s">
        <v>404</v>
      </c>
      <c r="H4" s="4" t="s">
        <v>336</v>
      </c>
      <c r="I4" s="4" t="s">
        <v>337</v>
      </c>
      <c r="J4" s="4" t="s">
        <v>405</v>
      </c>
    </row>
    <row r="5" spans="1:11" x14ac:dyDescent="0.15">
      <c r="A5" t="s">
        <v>75</v>
      </c>
      <c r="B5" t="s">
        <v>76</v>
      </c>
      <c r="C5" s="6"/>
      <c r="D5" s="3"/>
      <c r="E5" s="4"/>
      <c r="F5" s="3" t="s">
        <v>67</v>
      </c>
      <c r="G5" s="3" t="s">
        <v>96</v>
      </c>
      <c r="H5" s="3" t="s">
        <v>67</v>
      </c>
      <c r="I5" s="3" t="s">
        <v>67</v>
      </c>
      <c r="J5" s="3" t="s">
        <v>67</v>
      </c>
    </row>
    <row r="6" spans="1:11" x14ac:dyDescent="0.15">
      <c r="A6" s="369" t="s">
        <v>31</v>
      </c>
      <c r="B6" s="370"/>
      <c r="C6" s="369" t="s">
        <v>32</v>
      </c>
      <c r="D6" s="370"/>
      <c r="E6" s="370"/>
      <c r="F6" s="371"/>
      <c r="G6" s="371"/>
      <c r="H6" s="371"/>
      <c r="I6" s="371"/>
      <c r="J6" s="371"/>
    </row>
    <row r="7" spans="1:11" ht="14" x14ac:dyDescent="0.15">
      <c r="A7" s="1"/>
      <c r="B7">
        <v>5411</v>
      </c>
      <c r="C7" s="1"/>
      <c r="D7" s="15" t="s">
        <v>33</v>
      </c>
      <c r="F7" s="9"/>
      <c r="G7" s="9"/>
      <c r="H7" s="9"/>
      <c r="I7" s="9"/>
      <c r="J7" s="9"/>
    </row>
    <row r="8" spans="1:11" ht="14" x14ac:dyDescent="0.15">
      <c r="A8" s="1"/>
      <c r="B8">
        <v>5412</v>
      </c>
      <c r="C8" s="1"/>
      <c r="D8" s="16" t="s">
        <v>34</v>
      </c>
      <c r="F8" s="264">
        <v>10000</v>
      </c>
      <c r="G8" s="264">
        <v>15000</v>
      </c>
      <c r="H8" s="264">
        <v>20000</v>
      </c>
      <c r="I8" s="264">
        <v>25000</v>
      </c>
      <c r="J8" s="264">
        <v>30000</v>
      </c>
      <c r="K8" t="s">
        <v>95</v>
      </c>
    </row>
    <row r="9" spans="1:11" ht="14" x14ac:dyDescent="0.15">
      <c r="A9" s="1"/>
      <c r="B9">
        <v>5413</v>
      </c>
      <c r="C9" s="1"/>
      <c r="D9" s="16" t="s">
        <v>10</v>
      </c>
      <c r="F9" s="11"/>
      <c r="G9" s="11"/>
      <c r="H9" s="11"/>
      <c r="I9" s="11"/>
      <c r="J9" s="11"/>
    </row>
    <row r="10" spans="1:11" ht="14" hidden="1" x14ac:dyDescent="0.15">
      <c r="A10" s="1"/>
      <c r="B10">
        <v>5416</v>
      </c>
      <c r="C10" s="1"/>
      <c r="D10" s="16" t="s">
        <v>11</v>
      </c>
      <c r="F10" s="11"/>
      <c r="G10" s="11"/>
      <c r="H10" s="11"/>
      <c r="I10" s="11"/>
      <c r="J10" s="11"/>
    </row>
    <row r="11" spans="1:11" ht="14" hidden="1" x14ac:dyDescent="0.15">
      <c r="A11" s="1"/>
      <c r="B11">
        <v>5417</v>
      </c>
      <c r="C11" s="1"/>
      <c r="D11" s="16" t="s">
        <v>12</v>
      </c>
      <c r="F11" s="11"/>
      <c r="G11" s="11"/>
      <c r="H11" s="11"/>
      <c r="I11" s="11"/>
      <c r="J11" s="11"/>
    </row>
    <row r="12" spans="1:11" ht="14" hidden="1" x14ac:dyDescent="0.15">
      <c r="A12" s="1"/>
      <c r="B12">
        <v>5418</v>
      </c>
      <c r="C12" s="1"/>
      <c r="D12" s="16" t="s">
        <v>13</v>
      </c>
      <c r="F12" s="11"/>
      <c r="G12" s="11"/>
      <c r="H12" s="11"/>
      <c r="I12" s="11"/>
      <c r="J12" s="11"/>
    </row>
    <row r="13" spans="1:11" x14ac:dyDescent="0.15">
      <c r="A13" s="1"/>
      <c r="C13" s="1"/>
      <c r="D13" s="16"/>
      <c r="F13" s="11"/>
      <c r="G13" s="11"/>
      <c r="H13" s="11"/>
      <c r="I13" s="11"/>
      <c r="J13" s="11"/>
    </row>
    <row r="14" spans="1:11" x14ac:dyDescent="0.15">
      <c r="A14" s="369" t="s">
        <v>14</v>
      </c>
      <c r="B14" s="370"/>
      <c r="C14" s="369" t="s">
        <v>18</v>
      </c>
      <c r="D14" s="372"/>
      <c r="E14" s="370"/>
      <c r="F14" s="370"/>
      <c r="G14" s="370"/>
      <c r="H14" s="370"/>
      <c r="I14" s="370"/>
      <c r="J14" s="370"/>
    </row>
    <row r="15" spans="1:11" ht="14" x14ac:dyDescent="0.15">
      <c r="A15" s="1"/>
      <c r="B15">
        <v>5421</v>
      </c>
      <c r="C15" s="1"/>
      <c r="D15" s="15" t="s">
        <v>111</v>
      </c>
    </row>
    <row r="16" spans="1:11" ht="14" x14ac:dyDescent="0.15">
      <c r="A16" s="1"/>
      <c r="B16">
        <v>5427</v>
      </c>
      <c r="C16" s="1"/>
      <c r="D16" s="15" t="s">
        <v>112</v>
      </c>
    </row>
    <row r="17" spans="1:10" ht="14" x14ac:dyDescent="0.15">
      <c r="A17" s="1"/>
      <c r="B17">
        <v>5431</v>
      </c>
      <c r="C17" s="1"/>
      <c r="D17" s="15" t="s">
        <v>113</v>
      </c>
    </row>
    <row r="18" spans="1:10" ht="14" x14ac:dyDescent="0.15">
      <c r="A18" s="1"/>
      <c r="B18">
        <v>5435</v>
      </c>
      <c r="C18" s="1"/>
      <c r="D18" s="15" t="s">
        <v>114</v>
      </c>
    </row>
    <row r="19" spans="1:10" ht="14" x14ac:dyDescent="0.15">
      <c r="A19" s="1"/>
      <c r="B19">
        <v>5436</v>
      </c>
      <c r="C19" s="1"/>
      <c r="D19" s="15" t="s">
        <v>115</v>
      </c>
    </row>
    <row r="20" spans="1:10" ht="14" x14ac:dyDescent="0.15">
      <c r="A20" s="1"/>
      <c r="B20">
        <v>5441</v>
      </c>
      <c r="C20" s="1"/>
      <c r="D20" s="18" t="s">
        <v>0</v>
      </c>
      <c r="F20" s="74">
        <f>ROUND('REVENUE CALC'!D41,0)</f>
        <v>16250</v>
      </c>
      <c r="G20" s="74">
        <f>'REVENUE CALC'!E41</f>
        <v>34375</v>
      </c>
      <c r="H20" s="74">
        <f>'REVENUE CALC'!F41</f>
        <v>43750</v>
      </c>
      <c r="I20" s="74">
        <f>'REVENUE CALC'!G41</f>
        <v>53125</v>
      </c>
      <c r="J20" s="74">
        <f>'REVENUE CALC'!H41</f>
        <v>56250</v>
      </c>
    </row>
    <row r="21" spans="1:10" ht="14" x14ac:dyDescent="0.15">
      <c r="A21" s="1"/>
      <c r="B21">
        <v>5442</v>
      </c>
      <c r="C21" s="1"/>
      <c r="D21" s="18" t="s">
        <v>1</v>
      </c>
    </row>
    <row r="22" spans="1:10" ht="14" x14ac:dyDescent="0.15">
      <c r="A22" s="1"/>
      <c r="B22">
        <v>5445</v>
      </c>
      <c r="C22" s="1"/>
      <c r="D22" s="18" t="s">
        <v>2</v>
      </c>
      <c r="F22" s="74">
        <f>ROUND('6300 and 6400'!D36*0.65,0)</f>
        <v>120598</v>
      </c>
      <c r="G22" s="74">
        <f>'6300 and 6400'!E36*0.65</f>
        <v>144626.625</v>
      </c>
      <c r="H22" s="74">
        <f>'6300 and 6400'!F36*0.65</f>
        <v>184070.25</v>
      </c>
      <c r="I22" s="74">
        <f>'6300 and 6400'!G36*0.65</f>
        <v>223513.875</v>
      </c>
      <c r="J22" s="74">
        <f>'6300 and 6400'!H36*0.65</f>
        <v>236661.75</v>
      </c>
    </row>
    <row r="23" spans="1:10" ht="14" x14ac:dyDescent="0.15">
      <c r="A23" s="1"/>
      <c r="B23">
        <v>5446</v>
      </c>
      <c r="C23" s="1"/>
      <c r="D23" s="18" t="s">
        <v>3</v>
      </c>
      <c r="F23" s="74">
        <f>ROUND(0.3*'6300 and 6400'!D36,0)</f>
        <v>55661</v>
      </c>
      <c r="G23" s="74">
        <f>0.3*'6300 and 6400'!E36</f>
        <v>66750.75</v>
      </c>
      <c r="H23" s="74">
        <f>0.3*'6300 and 6400'!F36</f>
        <v>84955.5</v>
      </c>
      <c r="I23" s="74">
        <f>0.3*'6300 and 6400'!G36</f>
        <v>103160.25</v>
      </c>
      <c r="J23" s="74">
        <f>0.3*'6300 and 6400'!H36</f>
        <v>109228.5</v>
      </c>
    </row>
    <row r="24" spans="1:10" ht="14" x14ac:dyDescent="0.15">
      <c r="A24" s="1"/>
      <c r="B24">
        <v>5447</v>
      </c>
      <c r="C24" s="1"/>
      <c r="D24" s="18" t="s">
        <v>4</v>
      </c>
    </row>
    <row r="25" spans="1:10" ht="14" x14ac:dyDescent="0.15">
      <c r="A25" s="1"/>
      <c r="B25">
        <v>5448</v>
      </c>
      <c r="C25" s="1"/>
      <c r="D25" s="15" t="s">
        <v>116</v>
      </c>
    </row>
    <row r="26" spans="1:10" ht="28" x14ac:dyDescent="0.15">
      <c r="A26" s="1"/>
      <c r="B26">
        <v>5451</v>
      </c>
      <c r="C26" s="1"/>
      <c r="D26" s="15" t="s">
        <v>117</v>
      </c>
      <c r="F26" s="74">
        <f>ROUND('REVENUE CALC'!D38,0)</f>
        <v>97650</v>
      </c>
      <c r="G26" s="74">
        <f>'REVENUE CALC'!E38</f>
        <v>124678.12500000001</v>
      </c>
      <c r="H26" s="74">
        <f>'REVENUE CALC'!F38</f>
        <v>146475</v>
      </c>
      <c r="I26" s="74">
        <f>'REVENUE CALC'!G38</f>
        <v>177862.49999999997</v>
      </c>
      <c r="J26" s="74">
        <f>'REVENUE CALC'!H38</f>
        <v>188325</v>
      </c>
    </row>
    <row r="27" spans="1:10" ht="14" x14ac:dyDescent="0.15">
      <c r="A27" s="1"/>
      <c r="B27">
        <v>5452</v>
      </c>
      <c r="C27" s="1"/>
      <c r="D27" s="15" t="s">
        <v>118</v>
      </c>
    </row>
    <row r="28" spans="1:10" ht="28" x14ac:dyDescent="0.15">
      <c r="A28" s="1"/>
      <c r="B28">
        <v>5453</v>
      </c>
      <c r="C28" s="1"/>
      <c r="D28" s="15" t="s">
        <v>119</v>
      </c>
    </row>
    <row r="29" spans="1:10" ht="14" x14ac:dyDescent="0.15">
      <c r="A29" s="1"/>
      <c r="B29">
        <v>5454</v>
      </c>
      <c r="C29" s="1"/>
      <c r="D29" s="15" t="s">
        <v>120</v>
      </c>
    </row>
    <row r="30" spans="1:10" ht="14" x14ac:dyDescent="0.15">
      <c r="A30" s="1"/>
      <c r="B30">
        <v>5455</v>
      </c>
      <c r="C30" s="1"/>
      <c r="D30" s="15" t="s">
        <v>121</v>
      </c>
    </row>
    <row r="31" spans="1:10" ht="14" x14ac:dyDescent="0.15">
      <c r="A31" s="1"/>
      <c r="B31">
        <v>5456</v>
      </c>
      <c r="C31" s="1"/>
      <c r="D31" s="15" t="s">
        <v>122</v>
      </c>
    </row>
    <row r="32" spans="1:10" ht="14" x14ac:dyDescent="0.15">
      <c r="A32" s="1"/>
      <c r="B32">
        <v>5459</v>
      </c>
      <c r="C32" s="1"/>
      <c r="D32" s="15" t="s">
        <v>123</v>
      </c>
    </row>
    <row r="33" spans="1:10" x14ac:dyDescent="0.15">
      <c r="A33" s="369" t="s">
        <v>15</v>
      </c>
      <c r="B33" s="370"/>
      <c r="C33" s="369" t="s">
        <v>19</v>
      </c>
      <c r="D33" s="372"/>
      <c r="E33" s="370"/>
      <c r="F33" s="370"/>
      <c r="G33" s="370"/>
      <c r="H33" s="370"/>
      <c r="I33" s="370"/>
      <c r="J33" s="370"/>
    </row>
    <row r="34" spans="1:10" ht="28" x14ac:dyDescent="0.15">
      <c r="A34" s="1"/>
      <c r="B34">
        <v>5461</v>
      </c>
      <c r="C34" s="1"/>
      <c r="D34" s="15" t="s">
        <v>124</v>
      </c>
      <c r="F34" s="74"/>
      <c r="G34" s="74"/>
      <c r="H34" s="74"/>
      <c r="I34" s="74"/>
      <c r="J34" s="74"/>
    </row>
    <row r="35" spans="1:10" ht="28" x14ac:dyDescent="0.15">
      <c r="A35" s="1"/>
      <c r="B35">
        <v>5462</v>
      </c>
      <c r="C35" s="1"/>
      <c r="D35" s="15" t="s">
        <v>125</v>
      </c>
    </row>
    <row r="36" spans="1:10" ht="14" x14ac:dyDescent="0.15">
      <c r="A36" s="1"/>
      <c r="B36">
        <v>5463</v>
      </c>
      <c r="C36" s="1"/>
      <c r="D36" s="15" t="s">
        <v>26</v>
      </c>
    </row>
    <row r="37" spans="1:10" ht="42" x14ac:dyDescent="0.15">
      <c r="A37" s="1"/>
      <c r="B37">
        <v>5465</v>
      </c>
      <c r="C37" s="1"/>
      <c r="D37" s="15" t="s">
        <v>126</v>
      </c>
      <c r="F37" s="74">
        <f>ROUND('REVENUE CALC'!D39,0)</f>
        <v>12000</v>
      </c>
      <c r="G37" s="74">
        <f>'REVENUE CALC'!E39</f>
        <v>16500</v>
      </c>
      <c r="H37" s="74">
        <f>'REVENUE CALC'!F39</f>
        <v>21000</v>
      </c>
      <c r="I37" s="74">
        <f>'REVENUE CALC'!G39</f>
        <v>25500</v>
      </c>
      <c r="J37" s="74">
        <f>'REVENUE CALC'!H39</f>
        <v>27000</v>
      </c>
    </row>
    <row r="38" spans="1:10" ht="28" x14ac:dyDescent="0.15">
      <c r="A38" s="1"/>
      <c r="B38">
        <v>5466</v>
      </c>
      <c r="C38" s="1"/>
      <c r="D38" s="15" t="s">
        <v>127</v>
      </c>
    </row>
    <row r="39" spans="1:10" ht="14" x14ac:dyDescent="0.15">
      <c r="A39" s="1"/>
      <c r="B39">
        <v>5472</v>
      </c>
      <c r="C39" s="1"/>
      <c r="D39" s="15" t="s">
        <v>5</v>
      </c>
    </row>
    <row r="40" spans="1:10" ht="14" x14ac:dyDescent="0.15">
      <c r="A40" s="1"/>
      <c r="B40">
        <v>5473</v>
      </c>
      <c r="C40" s="1"/>
      <c r="D40" s="15" t="s">
        <v>6</v>
      </c>
    </row>
    <row r="41" spans="1:10" ht="14" x14ac:dyDescent="0.15">
      <c r="A41" s="1"/>
      <c r="B41">
        <v>5475</v>
      </c>
      <c r="C41" s="1"/>
      <c r="D41" s="15" t="s">
        <v>7</v>
      </c>
    </row>
    <row r="42" spans="1:10" ht="14" x14ac:dyDescent="0.15">
      <c r="A42" s="1"/>
      <c r="B42">
        <v>5476</v>
      </c>
      <c r="C42" s="1"/>
      <c r="D42" s="15" t="s">
        <v>128</v>
      </c>
    </row>
    <row r="43" spans="1:10" ht="28" x14ac:dyDescent="0.15">
      <c r="A43" s="1"/>
      <c r="B43">
        <v>5477</v>
      </c>
      <c r="C43" s="1"/>
      <c r="D43" s="15" t="s">
        <v>8</v>
      </c>
    </row>
    <row r="44" spans="1:10" ht="14" x14ac:dyDescent="0.15">
      <c r="A44" s="1"/>
      <c r="B44">
        <v>5478</v>
      </c>
      <c r="C44" s="1"/>
      <c r="D44" s="15" t="s">
        <v>9</v>
      </c>
    </row>
    <row r="45" spans="1:10" x14ac:dyDescent="0.15">
      <c r="A45" s="1"/>
      <c r="C45" s="1"/>
      <c r="D45" s="15"/>
    </row>
    <row r="46" spans="1:10" x14ac:dyDescent="0.15">
      <c r="A46" s="13" t="s">
        <v>16</v>
      </c>
      <c r="B46" s="12"/>
      <c r="C46" s="13" t="s">
        <v>20</v>
      </c>
      <c r="D46" s="17"/>
      <c r="E46" s="12"/>
      <c r="F46" s="12"/>
      <c r="G46" s="12"/>
      <c r="H46" s="12"/>
      <c r="I46" s="12"/>
      <c r="J46" s="12"/>
    </row>
    <row r="47" spans="1:10" ht="14" x14ac:dyDescent="0.15">
      <c r="A47" s="1"/>
      <c r="B47">
        <v>5481</v>
      </c>
      <c r="C47" s="1"/>
      <c r="D47" s="15" t="s">
        <v>129</v>
      </c>
    </row>
    <row r="48" spans="1:10" ht="14" x14ac:dyDescent="0.15">
      <c r="A48" s="1"/>
      <c r="B48">
        <v>5482</v>
      </c>
      <c r="C48" s="1"/>
      <c r="D48" s="15" t="s">
        <v>130</v>
      </c>
    </row>
    <row r="49" spans="1:10" ht="14" x14ac:dyDescent="0.15">
      <c r="A49" s="1"/>
      <c r="B49">
        <v>5483</v>
      </c>
      <c r="C49" s="1"/>
      <c r="D49" s="15" t="s">
        <v>21</v>
      </c>
    </row>
    <row r="50" spans="1:10" ht="14" x14ac:dyDescent="0.15">
      <c r="A50" s="1"/>
      <c r="B50">
        <v>5484</v>
      </c>
      <c r="C50" s="1"/>
      <c r="D50" s="15" t="s">
        <v>22</v>
      </c>
    </row>
    <row r="51" spans="1:10" ht="14" x14ac:dyDescent="0.15">
      <c r="A51" s="1"/>
      <c r="B51">
        <v>5486</v>
      </c>
      <c r="C51" s="1"/>
      <c r="D51" s="15" t="s">
        <v>23</v>
      </c>
    </row>
    <row r="52" spans="1:10" ht="14" x14ac:dyDescent="0.15">
      <c r="A52" s="1"/>
      <c r="B52">
        <v>5489</v>
      </c>
      <c r="C52" s="1"/>
      <c r="D52" s="15" t="s">
        <v>24</v>
      </c>
    </row>
    <row r="53" spans="1:10" ht="14" x14ac:dyDescent="0.15">
      <c r="A53" s="1"/>
      <c r="B53">
        <v>5492</v>
      </c>
      <c r="C53" s="1"/>
      <c r="D53" s="15" t="s">
        <v>131</v>
      </c>
    </row>
    <row r="54" spans="1:10" ht="14" x14ac:dyDescent="0.15">
      <c r="A54" s="1"/>
      <c r="B54">
        <v>5497</v>
      </c>
      <c r="C54" s="1"/>
      <c r="D54" s="15" t="s">
        <v>25</v>
      </c>
    </row>
    <row r="55" spans="1:10" x14ac:dyDescent="0.15">
      <c r="A55" s="1"/>
    </row>
    <row r="56" spans="1:10" x14ac:dyDescent="0.15">
      <c r="A56" s="1">
        <v>5499</v>
      </c>
      <c r="B56" s="1"/>
      <c r="C56" s="1"/>
      <c r="D56" s="1" t="s">
        <v>17</v>
      </c>
      <c r="E56" s="1"/>
      <c r="F56" s="14">
        <f>SUM(F7:F54)</f>
        <v>312159</v>
      </c>
      <c r="G56" s="14">
        <f>SUM(G7:G54)</f>
        <v>401930.5</v>
      </c>
      <c r="H56" s="14">
        <f>SUM(H7:H54)</f>
        <v>500250.75</v>
      </c>
      <c r="I56" s="14">
        <f>SUM(I7:I54)</f>
        <v>608161.625</v>
      </c>
      <c r="J56" s="14">
        <f>SUM(J7:J54)</f>
        <v>647465.25</v>
      </c>
    </row>
  </sheetData>
  <mergeCells count="1">
    <mergeCell ref="A1:J1"/>
  </mergeCells>
  <phoneticPr fontId="6" type="noConversion"/>
  <printOptions horizontalCentered="1"/>
  <pageMargins left="0.5" right="0.5" top="1" bottom="1" header="0.5" footer="0.5"/>
  <pageSetup scale="77" orientation="landscape" horizontalDpi="4294967292" verticalDpi="429496729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49"/>
  <sheetViews>
    <sheetView tabSelected="1" zoomScale="125" zoomScaleNormal="125" zoomScaleSheetLayoutView="100" workbookViewId="0">
      <selection activeCell="L9" sqref="L9"/>
    </sheetView>
  </sheetViews>
  <sheetFormatPr baseColWidth="10" defaultColWidth="8.83203125" defaultRowHeight="13" x14ac:dyDescent="0.15"/>
  <cols>
    <col min="1" max="1" width="3.6640625" style="84" customWidth="1"/>
    <col min="2" max="2" width="7.6640625" style="84" bestFit="1" customWidth="1"/>
    <col min="3" max="3" width="1.6640625" style="84" customWidth="1"/>
    <col min="4" max="4" width="38" style="84" customWidth="1"/>
    <col min="5" max="5" width="10.6640625" style="84" customWidth="1"/>
    <col min="6" max="9" width="11.83203125" style="84" bestFit="1" customWidth="1"/>
    <col min="10" max="11" width="8.83203125" style="84"/>
    <col min="12" max="12" width="13" style="84" bestFit="1" customWidth="1"/>
    <col min="13" max="13" width="9" style="84" bestFit="1" customWidth="1"/>
    <col min="14" max="14" width="11.83203125" style="84" bestFit="1" customWidth="1"/>
    <col min="15" max="15" width="9" style="84" bestFit="1" customWidth="1"/>
    <col min="16" max="16" width="11.83203125" style="84" bestFit="1" customWidth="1"/>
    <col min="17" max="17" width="9" style="84" bestFit="1" customWidth="1"/>
    <col min="18" max="18" width="11.83203125" style="84" bestFit="1" customWidth="1"/>
    <col min="19" max="19" width="9" style="84" bestFit="1" customWidth="1"/>
    <col min="20" max="20" width="11.83203125" style="84" bestFit="1" customWidth="1"/>
    <col min="21" max="21" width="9" style="84" bestFit="1" customWidth="1"/>
    <col min="22" max="16384" width="8.83203125" style="84"/>
  </cols>
  <sheetData>
    <row r="1" spans="1:14" ht="15.75" customHeight="1" x14ac:dyDescent="0.15">
      <c r="A1" s="399" t="s">
        <v>335</v>
      </c>
      <c r="B1" s="399"/>
      <c r="C1" s="399"/>
      <c r="D1" s="399"/>
      <c r="E1" s="399"/>
      <c r="F1" s="399"/>
      <c r="G1" s="399"/>
      <c r="H1" s="399"/>
      <c r="I1" s="399"/>
    </row>
    <row r="2" spans="1:14" ht="12.75" customHeight="1" x14ac:dyDescent="0.15">
      <c r="A2" s="399"/>
      <c r="B2" s="399"/>
      <c r="C2" s="399"/>
      <c r="D2" s="399"/>
      <c r="E2" s="399"/>
      <c r="F2" s="399"/>
      <c r="G2" s="399"/>
      <c r="H2" s="399"/>
      <c r="I2" s="399"/>
    </row>
    <row r="3" spans="1:14" x14ac:dyDescent="0.15">
      <c r="A3" s="398" t="s">
        <v>188</v>
      </c>
      <c r="B3" s="398"/>
      <c r="C3" s="398"/>
      <c r="D3" s="398"/>
      <c r="E3" s="398"/>
      <c r="F3" s="398"/>
      <c r="G3" s="398"/>
      <c r="H3" s="398"/>
      <c r="I3" s="398"/>
    </row>
    <row r="5" spans="1:14" x14ac:dyDescent="0.15">
      <c r="E5" s="4" t="s">
        <v>403</v>
      </c>
      <c r="F5" s="4" t="s">
        <v>404</v>
      </c>
      <c r="G5" s="4" t="s">
        <v>336</v>
      </c>
      <c r="H5" s="4" t="s">
        <v>337</v>
      </c>
      <c r="I5" s="4" t="s">
        <v>405</v>
      </c>
    </row>
    <row r="6" spans="1:14" x14ac:dyDescent="0.15">
      <c r="D6" s="98"/>
      <c r="E6" s="99" t="s">
        <v>89</v>
      </c>
      <c r="F6" s="99" t="s">
        <v>411</v>
      </c>
      <c r="G6" s="99" t="s">
        <v>411</v>
      </c>
      <c r="H6" s="99" t="s">
        <v>411</v>
      </c>
      <c r="I6" s="99" t="s">
        <v>411</v>
      </c>
    </row>
    <row r="7" spans="1:14" x14ac:dyDescent="0.15">
      <c r="D7" s="330" t="s">
        <v>276</v>
      </c>
      <c r="E7" s="196">
        <f>Enrollment!C12</f>
        <v>200</v>
      </c>
      <c r="F7" s="196">
        <f>Enrollment!D12</f>
        <v>275</v>
      </c>
      <c r="G7" s="196">
        <f>Enrollment!E12</f>
        <v>350</v>
      </c>
      <c r="H7" s="196">
        <f>Enrollment!F12</f>
        <v>425</v>
      </c>
      <c r="I7" s="196">
        <f>Enrollment!G12</f>
        <v>450</v>
      </c>
    </row>
    <row r="8" spans="1:14" x14ac:dyDescent="0.15">
      <c r="A8" s="100" t="s">
        <v>97</v>
      </c>
      <c r="B8" s="100"/>
      <c r="C8" s="100"/>
    </row>
    <row r="9" spans="1:14" x14ac:dyDescent="0.15">
      <c r="B9" s="84">
        <v>5100</v>
      </c>
      <c r="D9" s="84" t="s">
        <v>236</v>
      </c>
      <c r="E9" s="145">
        <f>'Local Revenue Worksheet'!F32</f>
        <v>679155.96514137927</v>
      </c>
      <c r="F9" s="145">
        <f>'Local Revenue Worksheet'!G32</f>
        <v>702400.01587686781</v>
      </c>
      <c r="G9" s="145">
        <f>'Local Revenue Worksheet'!H32</f>
        <v>529221.8453264368</v>
      </c>
      <c r="H9" s="145">
        <f>'Local Revenue Worksheet'!I32</f>
        <v>649385.76915100589</v>
      </c>
      <c r="I9" s="145">
        <f>'Local Revenue Worksheet'!J32</f>
        <v>701785.21294022992</v>
      </c>
    </row>
    <row r="10" spans="1:14" x14ac:dyDescent="0.15">
      <c r="B10" s="84">
        <v>5300</v>
      </c>
      <c r="D10" s="90" t="s">
        <v>237</v>
      </c>
      <c r="E10" s="146">
        <f>ROUND('State Revenue Worksheet'!F36,0)</f>
        <v>2060491</v>
      </c>
      <c r="F10" s="146">
        <f>'State Revenue Worksheet'!G36</f>
        <v>2982758.4939445402</v>
      </c>
      <c r="G10" s="146">
        <f>'State Revenue Worksheet'!H36</f>
        <v>3809220.3036919539</v>
      </c>
      <c r="H10" s="146">
        <f>'State Revenue Worksheet'!I36</f>
        <v>4674133.3121893685</v>
      </c>
      <c r="I10" s="146">
        <f>'State Revenue Worksheet'!J36</f>
        <v>5051292.7717747129</v>
      </c>
    </row>
    <row r="11" spans="1:14" x14ac:dyDescent="0.15">
      <c r="B11" s="84">
        <v>5400</v>
      </c>
      <c r="D11" s="90" t="s">
        <v>238</v>
      </c>
      <c r="E11" s="146">
        <f>ROUND('Federal Revenue Worksheet'!F56,0)</f>
        <v>312159</v>
      </c>
      <c r="F11" s="146">
        <f>'Federal Revenue Worksheet'!G56</f>
        <v>401930.5</v>
      </c>
      <c r="G11" s="146">
        <f>'Federal Revenue Worksheet'!H56</f>
        <v>500250.75</v>
      </c>
      <c r="H11" s="146">
        <f>'Federal Revenue Worksheet'!I56</f>
        <v>608161.625</v>
      </c>
      <c r="I11" s="146">
        <f>'Federal Revenue Worksheet'!J56</f>
        <v>647465.25</v>
      </c>
      <c r="J11" s="102"/>
    </row>
    <row r="12" spans="1:14" x14ac:dyDescent="0.15">
      <c r="B12" s="84">
        <v>5400</v>
      </c>
      <c r="D12" s="90" t="s">
        <v>380</v>
      </c>
      <c r="E12" s="146">
        <v>430970</v>
      </c>
      <c r="F12" s="146"/>
      <c r="G12" s="146"/>
      <c r="H12" s="146"/>
      <c r="I12" s="146"/>
      <c r="J12" s="102"/>
    </row>
    <row r="13" spans="1:14" x14ac:dyDescent="0.15">
      <c r="D13" s="90"/>
      <c r="E13" s="104"/>
      <c r="F13" s="104"/>
      <c r="G13" s="104"/>
      <c r="H13" s="104"/>
      <c r="I13" s="103"/>
    </row>
    <row r="14" spans="1:14" x14ac:dyDescent="0.15">
      <c r="B14" s="100">
        <v>5899</v>
      </c>
      <c r="C14" s="100"/>
      <c r="D14" s="105" t="s">
        <v>98</v>
      </c>
      <c r="E14" s="106">
        <f>SUM(E9:E13)</f>
        <v>3482775.9651413793</v>
      </c>
      <c r="F14" s="106">
        <f>SUM(F9:F13)</f>
        <v>4087089.009821408</v>
      </c>
      <c r="G14" s="106">
        <f t="shared" ref="G14:I14" si="0">SUM(G9:G13)</f>
        <v>4838692.899018391</v>
      </c>
      <c r="H14" s="106">
        <f t="shared" si="0"/>
        <v>5931680.7063403744</v>
      </c>
      <c r="I14" s="106">
        <f t="shared" si="0"/>
        <v>6400543.234714943</v>
      </c>
    </row>
    <row r="15" spans="1:14" x14ac:dyDescent="0.15">
      <c r="D15" s="107"/>
      <c r="E15" s="107"/>
    </row>
    <row r="16" spans="1:14" x14ac:dyDescent="0.15">
      <c r="A16" s="100" t="s">
        <v>83</v>
      </c>
      <c r="B16" s="100"/>
      <c r="C16" s="100"/>
      <c r="D16" s="98"/>
      <c r="E16" s="98"/>
      <c r="J16" s="397"/>
      <c r="K16" s="397"/>
      <c r="L16" s="397"/>
      <c r="M16" s="397"/>
      <c r="N16" s="397"/>
    </row>
    <row r="17" spans="2:15" x14ac:dyDescent="0.15">
      <c r="B17" s="90">
        <v>1100</v>
      </c>
      <c r="D17" s="90" t="s">
        <v>73</v>
      </c>
      <c r="E17" s="108">
        <f>'Expend by Function'!E11</f>
        <v>1556956.3800000001</v>
      </c>
      <c r="F17" s="108">
        <f>'Expend by Function'!F11</f>
        <v>1876946.9024733999</v>
      </c>
      <c r="G17" s="108">
        <f>'Expend by Function'!G11</f>
        <v>2319276.5923236236</v>
      </c>
      <c r="H17" s="108">
        <f>'Expend by Function'!H11</f>
        <v>2926376.7221500957</v>
      </c>
      <c r="I17" s="108">
        <f>'Expend by Function'!I11</f>
        <v>3155521.6550802151</v>
      </c>
      <c r="J17" s="397"/>
      <c r="K17" s="397"/>
      <c r="L17" s="397"/>
      <c r="M17" s="397"/>
      <c r="N17" s="397"/>
    </row>
    <row r="18" spans="2:15" x14ac:dyDescent="0.15">
      <c r="B18" s="90">
        <v>1200</v>
      </c>
      <c r="D18" s="90" t="s">
        <v>74</v>
      </c>
      <c r="E18" s="109">
        <f>'Expend by Function'!E19</f>
        <v>199818</v>
      </c>
      <c r="F18" s="109">
        <f>'Expend by Function'!F19</f>
        <v>226206.7959</v>
      </c>
      <c r="G18" s="109">
        <f>'Expend by Function'!G19</f>
        <v>324964.74331799999</v>
      </c>
      <c r="H18" s="109">
        <f>'Expend by Function'!H19</f>
        <v>426442.62071435997</v>
      </c>
      <c r="I18" s="109">
        <f>'Expend by Function'!I19</f>
        <v>439418.85751600005</v>
      </c>
    </row>
    <row r="19" spans="2:15" x14ac:dyDescent="0.15">
      <c r="B19" s="100">
        <v>1999</v>
      </c>
      <c r="C19" s="100"/>
      <c r="D19" s="100" t="s">
        <v>99</v>
      </c>
      <c r="E19" s="213">
        <f t="shared" ref="E19:I19" si="1">SUM(E17:E18)</f>
        <v>1756774.3800000001</v>
      </c>
      <c r="F19" s="213">
        <f t="shared" si="1"/>
        <v>2103153.6983733997</v>
      </c>
      <c r="G19" s="213">
        <f t="shared" si="1"/>
        <v>2644241.3356416235</v>
      </c>
      <c r="H19" s="213">
        <f t="shared" si="1"/>
        <v>3352819.3428644557</v>
      </c>
      <c r="I19" s="213">
        <f t="shared" si="1"/>
        <v>3594940.5125962151</v>
      </c>
    </row>
    <row r="20" spans="2:15" x14ac:dyDescent="0.15">
      <c r="B20" s="90"/>
      <c r="E20" s="95"/>
      <c r="F20" s="95"/>
      <c r="G20" s="95"/>
      <c r="H20" s="95"/>
    </row>
    <row r="21" spans="2:15" x14ac:dyDescent="0.15">
      <c r="B21" s="90">
        <v>2100</v>
      </c>
      <c r="D21" s="90" t="s">
        <v>100</v>
      </c>
      <c r="E21" s="108">
        <f>'Expend by Function'!E27</f>
        <v>287089</v>
      </c>
      <c r="F21" s="108">
        <f>'Expend by Function'!F27</f>
        <v>344151.10797000001</v>
      </c>
      <c r="G21" s="108">
        <f>'Expend by Function'!G27</f>
        <v>354472.62612940004</v>
      </c>
      <c r="H21" s="108">
        <f>'Expend by Function'!H27</f>
        <v>365161.648482388</v>
      </c>
      <c r="I21" s="108">
        <f>'Expend by Function'!I27</f>
        <v>376232.03249558387</v>
      </c>
    </row>
    <row r="22" spans="2:15" x14ac:dyDescent="0.15">
      <c r="B22" s="90">
        <v>2200</v>
      </c>
      <c r="D22" s="90" t="s">
        <v>189</v>
      </c>
      <c r="E22" s="108">
        <f>'Expend by Function'!E35</f>
        <v>15000</v>
      </c>
      <c r="F22" s="108">
        <f>'Expend by Function'!F35</f>
        <v>15000</v>
      </c>
      <c r="G22" s="108">
        <f>'Expend by Function'!G35</f>
        <v>15000</v>
      </c>
      <c r="H22" s="108">
        <f>'Expend by Function'!H35</f>
        <v>15000</v>
      </c>
      <c r="I22" s="108">
        <f>'Expend by Function'!I35</f>
        <v>15000</v>
      </c>
      <c r="L22" s="90"/>
    </row>
    <row r="23" spans="2:15" x14ac:dyDescent="0.15">
      <c r="B23" s="90">
        <v>2300</v>
      </c>
      <c r="D23" s="90" t="s">
        <v>132</v>
      </c>
      <c r="E23" s="108">
        <f>'Expend by Function'!E43+'Expend by Function'!E51+'Expend by Function'!E59</f>
        <v>252491</v>
      </c>
      <c r="F23" s="108">
        <f>'Expend by Function'!F43+'Expend by Function'!F51+'Expend by Function'!F59</f>
        <v>262761</v>
      </c>
      <c r="G23" s="108">
        <f>'Expend by Function'!G43+'Expend by Function'!G51+'Expend by Function'!G59</f>
        <v>327118.5</v>
      </c>
      <c r="H23" s="108">
        <f>'Expend by Function'!H43+'Expend by Function'!H51+'Expend by Function'!H59</f>
        <v>349226</v>
      </c>
      <c r="I23" s="108">
        <f>'Expend by Function'!I43+'Expend by Function'!I51+'Expend by Function'!I59</f>
        <v>363833.5</v>
      </c>
      <c r="L23" s="90"/>
    </row>
    <row r="24" spans="2:15" x14ac:dyDescent="0.15">
      <c r="B24" s="90">
        <v>2400</v>
      </c>
      <c r="D24" s="90" t="s">
        <v>80</v>
      </c>
      <c r="E24" s="260">
        <f>'Expend by Function'!E66</f>
        <v>238520</v>
      </c>
      <c r="F24" s="260">
        <f>'Expend by Function'!F66</f>
        <v>232252.74799999999</v>
      </c>
      <c r="G24" s="260">
        <f>'Expend by Function'!G66</f>
        <v>237327.80296</v>
      </c>
      <c r="H24" s="260">
        <f>'Expend by Function'!H66</f>
        <v>242494.3590192</v>
      </c>
      <c r="I24" s="260">
        <f>'Expend by Function'!I66</f>
        <v>247754.24619958401</v>
      </c>
      <c r="L24" s="90"/>
    </row>
    <row r="25" spans="2:15" x14ac:dyDescent="0.15">
      <c r="B25" s="90">
        <v>2540</v>
      </c>
      <c r="D25" s="285" t="s">
        <v>447</v>
      </c>
      <c r="E25" s="103">
        <f>'Expend by Function'!E74+'Expend by Function'!E83</f>
        <v>518249.8</v>
      </c>
      <c r="F25" s="103">
        <f>'Expend by Function'!F74+'Expend by Function'!F83</f>
        <v>611931.13238999993</v>
      </c>
      <c r="G25" s="103">
        <f>'Expend by Function'!G74+'Expend by Function'!G83</f>
        <v>933602.29903779994</v>
      </c>
      <c r="H25" s="103">
        <f>'Expend by Function'!H74+'Expend by Function'!H83</f>
        <v>1065834.745018556</v>
      </c>
      <c r="I25" s="103">
        <f>'Expend by Function'!I74+'Expend by Function'!I83</f>
        <v>1113287.4399189271</v>
      </c>
      <c r="K25" s="167"/>
      <c r="L25" s="167"/>
      <c r="M25" s="167"/>
      <c r="N25" s="167"/>
      <c r="O25" s="167"/>
    </row>
    <row r="26" spans="2:15" x14ac:dyDescent="0.15">
      <c r="B26" s="90">
        <v>2560</v>
      </c>
      <c r="D26" s="285" t="s">
        <v>448</v>
      </c>
      <c r="E26" s="110">
        <f>'Expend by Function'!E99</f>
        <v>185535</v>
      </c>
      <c r="F26" s="110">
        <f>'Expend by Function'!F99</f>
        <v>222502.5</v>
      </c>
      <c r="G26" s="110">
        <f>'Expend by Function'!G99</f>
        <v>283185</v>
      </c>
      <c r="H26" s="110">
        <f>'Expend by Function'!H99</f>
        <v>343867.5</v>
      </c>
      <c r="I26" s="110">
        <f>'Expend by Function'!I99</f>
        <v>364095</v>
      </c>
      <c r="L26" s="90"/>
    </row>
    <row r="27" spans="2:15" x14ac:dyDescent="0.15">
      <c r="B27" s="90">
        <v>2600</v>
      </c>
      <c r="D27" s="285" t="s">
        <v>449</v>
      </c>
      <c r="E27" s="110">
        <f>'Expend by Function'!E107</f>
        <v>6000</v>
      </c>
      <c r="F27" s="110">
        <f>'Expend by Function'!F107</f>
        <v>5000</v>
      </c>
      <c r="G27" s="110">
        <f>'Expend by Function'!G107</f>
        <v>5000</v>
      </c>
      <c r="H27" s="110">
        <f>'Expend by Function'!H107</f>
        <v>5000</v>
      </c>
      <c r="I27" s="110">
        <f>'Expend by Function'!I107</f>
        <v>5000</v>
      </c>
      <c r="L27" s="90"/>
    </row>
    <row r="28" spans="2:15" x14ac:dyDescent="0.15">
      <c r="B28" s="100">
        <v>2998</v>
      </c>
      <c r="C28" s="100"/>
      <c r="D28" s="100" t="s">
        <v>81</v>
      </c>
      <c r="E28" s="213">
        <f>SUM(E21:E27)</f>
        <v>1502884.8</v>
      </c>
      <c r="F28" s="213">
        <f>SUM(F21:F27)</f>
        <v>1693598.4883599998</v>
      </c>
      <c r="G28" s="213">
        <f>SUM(G21:G27)</f>
        <v>2155706.2281272002</v>
      </c>
      <c r="H28" s="213">
        <f>SUM(H21:H27)</f>
        <v>2386584.252520144</v>
      </c>
      <c r="I28" s="213">
        <f>SUM(I21:I27)</f>
        <v>2485202.2186140949</v>
      </c>
    </row>
    <row r="29" spans="2:15" x14ac:dyDescent="0.15">
      <c r="B29" s="100"/>
      <c r="C29" s="100"/>
      <c r="D29" s="100"/>
      <c r="E29" s="213"/>
      <c r="F29" s="213"/>
      <c r="G29" s="213"/>
      <c r="H29" s="213"/>
      <c r="I29" s="213"/>
    </row>
    <row r="30" spans="2:15" x14ac:dyDescent="0.15">
      <c r="B30" s="100">
        <v>5400</v>
      </c>
      <c r="C30" s="100"/>
      <c r="D30" s="285" t="s">
        <v>412</v>
      </c>
      <c r="E30" s="146"/>
      <c r="F30" s="146"/>
      <c r="G30" s="213"/>
      <c r="H30" s="213"/>
      <c r="I30" s="213"/>
    </row>
    <row r="31" spans="2:15" x14ac:dyDescent="0.15">
      <c r="B31" s="100"/>
      <c r="C31" s="100"/>
      <c r="D31" s="285"/>
      <c r="E31" s="146"/>
      <c r="F31" s="146"/>
      <c r="G31" s="213"/>
      <c r="H31" s="213"/>
      <c r="I31" s="213"/>
      <c r="L31" s="146"/>
    </row>
    <row r="32" spans="2:15" x14ac:dyDescent="0.15">
      <c r="B32" s="90"/>
      <c r="E32" s="108"/>
      <c r="F32" s="108"/>
      <c r="G32" s="108"/>
      <c r="H32" s="108"/>
      <c r="I32" s="108"/>
    </row>
    <row r="33" spans="1:12" x14ac:dyDescent="0.15">
      <c r="B33" s="100">
        <v>9999</v>
      </c>
      <c r="C33" s="100"/>
      <c r="D33" s="105" t="s">
        <v>82</v>
      </c>
      <c r="E33" s="284">
        <f>E19+E28+E30+E31</f>
        <v>3259659.18</v>
      </c>
      <c r="F33" s="284">
        <f>F19+F28+F30+F31</f>
        <v>3796752.1867333995</v>
      </c>
      <c r="G33" s="284">
        <f>G19+G28+G30+G31</f>
        <v>4799947.5637688236</v>
      </c>
      <c r="H33" s="284">
        <f>H19+H28+H30+H31</f>
        <v>5739403.5953845996</v>
      </c>
      <c r="I33" s="284">
        <f>I19+I28+I30+I31</f>
        <v>6080142.73121031</v>
      </c>
    </row>
    <row r="34" spans="1:12" x14ac:dyDescent="0.15">
      <c r="B34" s="90"/>
      <c r="D34" s="107"/>
      <c r="E34" s="95"/>
      <c r="F34" s="95"/>
      <c r="G34" s="95"/>
      <c r="H34" s="95"/>
      <c r="L34" s="101"/>
    </row>
    <row r="35" spans="1:12" x14ac:dyDescent="0.15">
      <c r="A35" s="100" t="s">
        <v>84</v>
      </c>
      <c r="B35" s="90"/>
      <c r="C35" s="100"/>
      <c r="E35" s="111">
        <f>+E14-E33</f>
        <v>223116.78514137911</v>
      </c>
      <c r="F35" s="111">
        <f>+F14-F33</f>
        <v>290336.82308800844</v>
      </c>
      <c r="G35" s="111">
        <f>+G14-G33</f>
        <v>38745.335249567404</v>
      </c>
      <c r="H35" s="111">
        <f>+H14-H33</f>
        <v>192277.11095577478</v>
      </c>
      <c r="I35" s="111">
        <f>+I14-I33</f>
        <v>320400.50350463297</v>
      </c>
      <c r="L35" s="101"/>
    </row>
    <row r="36" spans="1:12" x14ac:dyDescent="0.15">
      <c r="A36" s="100"/>
      <c r="B36" s="90"/>
      <c r="C36" s="100"/>
      <c r="E36" s="112"/>
      <c r="F36" s="112"/>
      <c r="G36" s="112"/>
      <c r="H36" s="112"/>
      <c r="I36" s="113"/>
    </row>
    <row r="37" spans="1:12" x14ac:dyDescent="0.15">
      <c r="A37" s="100" t="s">
        <v>85</v>
      </c>
      <c r="B37" s="90"/>
      <c r="C37" s="100"/>
      <c r="E37" s="112">
        <v>350000</v>
      </c>
      <c r="F37" s="112">
        <f>SUM(E39)</f>
        <v>573116.78514137911</v>
      </c>
      <c r="G37" s="112">
        <f>SUM(F39)</f>
        <v>863453.60822938755</v>
      </c>
      <c r="H37" s="112">
        <f>SUM(G39)</f>
        <v>902198.94347895496</v>
      </c>
      <c r="I37" s="112">
        <f>SUM(H39)</f>
        <v>1094476.0544347297</v>
      </c>
    </row>
    <row r="38" spans="1:12" x14ac:dyDescent="0.15">
      <c r="A38" s="85"/>
      <c r="B38" s="114"/>
      <c r="C38" s="85"/>
      <c r="D38" s="115"/>
      <c r="E38" s="116"/>
      <c r="F38" s="116"/>
      <c r="G38" s="116"/>
      <c r="H38" s="116"/>
      <c r="I38" s="117"/>
    </row>
    <row r="39" spans="1:12" x14ac:dyDescent="0.15">
      <c r="A39" s="100" t="s">
        <v>86</v>
      </c>
      <c r="B39" s="90"/>
      <c r="C39" s="100"/>
      <c r="D39" s="100"/>
      <c r="E39" s="118">
        <f t="shared" ref="E39:I39" si="2">SUM(E35:E37)</f>
        <v>573116.78514137911</v>
      </c>
      <c r="F39" s="118">
        <f>SUM(F35:F37)</f>
        <v>863453.60822938755</v>
      </c>
      <c r="G39" s="118">
        <f t="shared" si="2"/>
        <v>902198.94347895496</v>
      </c>
      <c r="H39" s="118">
        <f t="shared" si="2"/>
        <v>1094476.0544347297</v>
      </c>
      <c r="I39" s="118">
        <f t="shared" si="2"/>
        <v>1414876.5579393627</v>
      </c>
    </row>
    <row r="40" spans="1:12" x14ac:dyDescent="0.15">
      <c r="B40" s="90"/>
    </row>
    <row r="41" spans="1:12" x14ac:dyDescent="0.15">
      <c r="B41" s="90"/>
      <c r="D41" s="84" t="s">
        <v>362</v>
      </c>
      <c r="E41" s="168">
        <v>350000</v>
      </c>
      <c r="F41" s="168">
        <f>E43</f>
        <v>573116.78514137911</v>
      </c>
      <c r="G41" s="168">
        <f>F43</f>
        <v>863453.60822938755</v>
      </c>
      <c r="H41" s="168">
        <f>G43</f>
        <v>902198.94347895496</v>
      </c>
      <c r="I41" s="168">
        <f>H43</f>
        <v>1094476.0544347297</v>
      </c>
    </row>
    <row r="42" spans="1:12" x14ac:dyDescent="0.15">
      <c r="B42" s="90"/>
      <c r="D42" s="84" t="s">
        <v>363</v>
      </c>
      <c r="E42" s="168">
        <f>E35</f>
        <v>223116.78514137911</v>
      </c>
      <c r="F42" s="168">
        <f>F35</f>
        <v>290336.82308800844</v>
      </c>
      <c r="G42" s="168">
        <f>G35</f>
        <v>38745.335249567404</v>
      </c>
      <c r="H42" s="168">
        <f>H35</f>
        <v>192277.11095577478</v>
      </c>
      <c r="I42" s="168">
        <f>I35</f>
        <v>320400.50350463297</v>
      </c>
    </row>
    <row r="43" spans="1:12" x14ac:dyDescent="0.15">
      <c r="B43" s="90"/>
      <c r="D43" s="84" t="s">
        <v>364</v>
      </c>
      <c r="E43" s="168">
        <f>E41+E42</f>
        <v>573116.78514137911</v>
      </c>
      <c r="F43" s="168">
        <f>F41+F42</f>
        <v>863453.60822938755</v>
      </c>
      <c r="G43" s="168">
        <f>G41+G42</f>
        <v>902198.94347895496</v>
      </c>
      <c r="H43" s="168">
        <f>H41+H42</f>
        <v>1094476.0544347297</v>
      </c>
      <c r="I43" s="168">
        <f>I41+I42</f>
        <v>1414876.5579393627</v>
      </c>
    </row>
    <row r="44" spans="1:12" x14ac:dyDescent="0.15">
      <c r="B44" s="90"/>
      <c r="E44" s="168"/>
      <c r="F44" s="168"/>
      <c r="G44" s="168"/>
      <c r="H44" s="168"/>
      <c r="I44" s="168"/>
    </row>
    <row r="45" spans="1:12" x14ac:dyDescent="0.15">
      <c r="A45" s="100"/>
      <c r="B45" s="90"/>
      <c r="C45" s="100"/>
      <c r="D45" s="84" t="s">
        <v>365</v>
      </c>
      <c r="E45" s="167">
        <f>E43/(E33)</f>
        <v>0.17582107622103579</v>
      </c>
      <c r="F45" s="167">
        <f t="shared" ref="F45:I45" si="3">F43/(F33)</f>
        <v>0.22741900597212128</v>
      </c>
      <c r="G45" s="167">
        <f t="shared" si="3"/>
        <v>0.18796016654202077</v>
      </c>
      <c r="H45" s="167">
        <f t="shared" si="3"/>
        <v>0.19069508464518228</v>
      </c>
      <c r="I45" s="167">
        <f t="shared" si="3"/>
        <v>0.23270449732644979</v>
      </c>
    </row>
    <row r="46" spans="1:12" x14ac:dyDescent="0.15">
      <c r="B46" s="90"/>
    </row>
    <row r="48" spans="1:12" x14ac:dyDescent="0.15">
      <c r="E48" s="103"/>
    </row>
    <row r="49" spans="5:9" x14ac:dyDescent="0.15">
      <c r="E49" s="103"/>
      <c r="F49" s="103"/>
      <c r="G49" s="103"/>
      <c r="H49" s="103"/>
      <c r="I49" s="103"/>
    </row>
  </sheetData>
  <mergeCells count="3">
    <mergeCell ref="J16:N17"/>
    <mergeCell ref="A3:I3"/>
    <mergeCell ref="A1:I2"/>
  </mergeCells>
  <printOptions horizontalCentered="1"/>
  <pageMargins left="0.5" right="0.5" top="1" bottom="1" header="0.5" footer="0.5"/>
  <pageSetup scale="78" fitToHeight="2" orientation="portrait" horizontalDpi="4294967292" verticalDpi="4294967292"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25"/>
  <sheetViews>
    <sheetView workbookViewId="0">
      <selection activeCell="H37" sqref="H37"/>
    </sheetView>
  </sheetViews>
  <sheetFormatPr baseColWidth="10" defaultColWidth="8.83203125" defaultRowHeight="13" x14ac:dyDescent="0.15"/>
  <cols>
    <col min="1" max="1" width="19.1640625" customWidth="1"/>
    <col min="2" max="2" width="9.33203125" customWidth="1"/>
    <col min="3" max="3" width="8.1640625" customWidth="1"/>
    <col min="4" max="4" width="8.6640625" customWidth="1"/>
    <col min="5" max="5" width="8.5" customWidth="1"/>
    <col min="6" max="8" width="8.83203125" customWidth="1"/>
    <col min="9" max="9" width="8.33203125" customWidth="1"/>
    <col min="10" max="11" width="8.5" customWidth="1"/>
    <col min="12" max="12" width="8.33203125" customWidth="1"/>
    <col min="13" max="14" width="8.5" customWidth="1"/>
  </cols>
  <sheetData>
    <row r="1" spans="1:14" ht="20.25" customHeight="1" thickTop="1" x14ac:dyDescent="0.15">
      <c r="A1" s="400" t="s">
        <v>323</v>
      </c>
      <c r="B1" s="401"/>
      <c r="C1" s="401"/>
      <c r="D1" s="401"/>
      <c r="E1" s="401"/>
      <c r="F1" s="401"/>
      <c r="G1" s="401"/>
      <c r="H1" s="401"/>
      <c r="I1" s="401"/>
      <c r="J1" s="401"/>
      <c r="K1" s="401"/>
      <c r="L1" s="401"/>
      <c r="M1" s="401"/>
      <c r="N1" s="402"/>
    </row>
    <row r="2" spans="1:14" x14ac:dyDescent="0.15">
      <c r="A2" s="403"/>
      <c r="B2" s="404"/>
      <c r="C2" s="404"/>
      <c r="D2" s="404"/>
      <c r="E2" s="404"/>
      <c r="F2" s="404"/>
      <c r="G2" s="404"/>
      <c r="H2" s="404"/>
      <c r="I2" s="404"/>
      <c r="J2" s="404"/>
      <c r="K2" s="404"/>
      <c r="L2" s="404"/>
      <c r="M2" s="404"/>
      <c r="N2" s="405"/>
    </row>
    <row r="3" spans="1:14" ht="39" x14ac:dyDescent="0.15">
      <c r="A3" s="214"/>
      <c r="B3" s="215" t="s">
        <v>302</v>
      </c>
      <c r="C3" s="216">
        <v>43282</v>
      </c>
      <c r="D3" s="216">
        <v>43313</v>
      </c>
      <c r="E3" s="216">
        <v>43344</v>
      </c>
      <c r="F3" s="216">
        <v>43374</v>
      </c>
      <c r="G3" s="216">
        <v>43405</v>
      </c>
      <c r="H3" s="216">
        <v>43435</v>
      </c>
      <c r="I3" s="216">
        <v>43466</v>
      </c>
      <c r="J3" s="216">
        <v>43497</v>
      </c>
      <c r="K3" s="216">
        <v>43525</v>
      </c>
      <c r="L3" s="216">
        <v>43556</v>
      </c>
      <c r="M3" s="216">
        <v>43586</v>
      </c>
      <c r="N3" s="217">
        <v>43617</v>
      </c>
    </row>
    <row r="4" spans="1:14" x14ac:dyDescent="0.15">
      <c r="A4" s="214"/>
      <c r="B4" s="218"/>
      <c r="C4" s="219"/>
      <c r="D4" s="219"/>
      <c r="E4" s="219"/>
      <c r="F4" s="219"/>
      <c r="G4" s="219"/>
      <c r="H4" s="219"/>
      <c r="I4" s="219"/>
      <c r="J4" s="219"/>
      <c r="K4" s="219"/>
      <c r="L4" s="219"/>
      <c r="M4" s="219"/>
      <c r="N4" s="220"/>
    </row>
    <row r="5" spans="1:14" x14ac:dyDescent="0.15">
      <c r="A5" s="221" t="s">
        <v>285</v>
      </c>
      <c r="B5" s="222"/>
      <c r="C5" s="223">
        <f>B24</f>
        <v>158880</v>
      </c>
      <c r="D5" s="224">
        <f>C24</f>
        <v>98038.375</v>
      </c>
      <c r="E5" s="224">
        <f t="shared" ref="E5:N5" si="0">D24</f>
        <v>93375.526867545472</v>
      </c>
      <c r="F5" s="224">
        <f t="shared" si="0"/>
        <v>103619.63873509095</v>
      </c>
      <c r="G5" s="224">
        <f t="shared" si="0"/>
        <v>113863.75060263643</v>
      </c>
      <c r="H5" s="224">
        <f t="shared" si="0"/>
        <v>124107.86247018191</v>
      </c>
      <c r="I5" s="224">
        <f t="shared" si="0"/>
        <v>134351.97433772738</v>
      </c>
      <c r="J5" s="224">
        <f t="shared" si="0"/>
        <v>147346.08620527288</v>
      </c>
      <c r="K5" s="224">
        <f t="shared" si="0"/>
        <v>160340.19807281834</v>
      </c>
      <c r="L5" s="224">
        <f t="shared" si="0"/>
        <v>173334.3099403638</v>
      </c>
      <c r="M5" s="224">
        <f t="shared" si="0"/>
        <v>186328.42180790927</v>
      </c>
      <c r="N5" s="225">
        <f t="shared" si="0"/>
        <v>196822.53367545473</v>
      </c>
    </row>
    <row r="6" spans="1:14" x14ac:dyDescent="0.15">
      <c r="A6" s="226"/>
      <c r="B6" s="227"/>
      <c r="C6" s="228"/>
      <c r="D6" s="228"/>
      <c r="E6" s="228"/>
      <c r="F6" s="228"/>
      <c r="G6" s="228"/>
      <c r="H6" s="228"/>
      <c r="I6" s="228"/>
      <c r="J6" s="228"/>
      <c r="K6" s="228"/>
      <c r="L6" s="228"/>
      <c r="M6" s="228"/>
      <c r="N6" s="229"/>
    </row>
    <row r="7" spans="1:14" x14ac:dyDescent="0.15">
      <c r="A7" s="214" t="s">
        <v>286</v>
      </c>
      <c r="B7" s="218"/>
      <c r="C7" s="218"/>
      <c r="D7" s="218"/>
      <c r="E7" s="218"/>
      <c r="F7" s="218"/>
      <c r="G7" s="218"/>
      <c r="H7" s="218"/>
      <c r="I7" s="218"/>
      <c r="J7" s="218"/>
      <c r="K7" s="218"/>
      <c r="L7" s="218"/>
      <c r="M7" s="218"/>
      <c r="N7" s="230"/>
    </row>
    <row r="8" spans="1:14" x14ac:dyDescent="0.15">
      <c r="A8" s="214" t="s">
        <v>287</v>
      </c>
      <c r="B8" s="231">
        <v>250000</v>
      </c>
      <c r="C8" s="231">
        <v>0</v>
      </c>
      <c r="D8" s="231">
        <v>0</v>
      </c>
      <c r="E8" s="231">
        <v>0</v>
      </c>
      <c r="F8" s="231">
        <v>0</v>
      </c>
      <c r="G8" s="231">
        <v>0</v>
      </c>
      <c r="H8" s="231">
        <v>0</v>
      </c>
      <c r="I8" s="231">
        <v>0</v>
      </c>
      <c r="J8" s="231">
        <v>0</v>
      </c>
      <c r="K8" s="231">
        <v>0</v>
      </c>
      <c r="L8" s="231">
        <v>0</v>
      </c>
      <c r="M8" s="231">
        <v>0</v>
      </c>
      <c r="N8" s="232">
        <v>0</v>
      </c>
    </row>
    <row r="9" spans="1:14" x14ac:dyDescent="0.15">
      <c r="A9" s="214" t="s">
        <v>288</v>
      </c>
      <c r="B9" s="231"/>
      <c r="C9" s="231">
        <v>0</v>
      </c>
      <c r="D9" s="231">
        <v>99681.63141300001</v>
      </c>
      <c r="E9" s="231">
        <v>99681.63141300001</v>
      </c>
      <c r="F9" s="231">
        <v>99681.63141300001</v>
      </c>
      <c r="G9" s="231">
        <v>99681.63141300001</v>
      </c>
      <c r="H9" s="231">
        <v>99681.63141300001</v>
      </c>
      <c r="I9" s="231">
        <v>99681.63141300001</v>
      </c>
      <c r="J9" s="231">
        <v>99681.63141300001</v>
      </c>
      <c r="K9" s="231">
        <v>99681.63141300001</v>
      </c>
      <c r="L9" s="231">
        <v>99681.63141300001</v>
      </c>
      <c r="M9" s="231">
        <v>99681.63141300001</v>
      </c>
      <c r="N9" s="232">
        <v>99681.63141300001</v>
      </c>
    </row>
    <row r="10" spans="1:14" x14ac:dyDescent="0.15">
      <c r="A10" s="214" t="s">
        <v>289</v>
      </c>
      <c r="B10" s="231"/>
      <c r="C10" s="231">
        <v>0</v>
      </c>
      <c r="D10" s="231">
        <v>0</v>
      </c>
      <c r="E10" s="231">
        <v>19107.400000000001</v>
      </c>
      <c r="F10" s="231">
        <v>19107.400000000001</v>
      </c>
      <c r="G10" s="231">
        <v>19107.400000000001</v>
      </c>
      <c r="H10" s="231">
        <v>19107.400000000001</v>
      </c>
      <c r="I10" s="231">
        <v>21857.4</v>
      </c>
      <c r="J10" s="231">
        <v>21857.4</v>
      </c>
      <c r="K10" s="231">
        <v>21857.4</v>
      </c>
      <c r="L10" s="231">
        <v>21857.4</v>
      </c>
      <c r="M10" s="231">
        <v>21857.4</v>
      </c>
      <c r="N10" s="232">
        <v>21857.4</v>
      </c>
    </row>
    <row r="11" spans="1:14" x14ac:dyDescent="0.15">
      <c r="A11" s="214" t="s">
        <v>290</v>
      </c>
      <c r="B11" s="231"/>
      <c r="C11" s="231">
        <v>0</v>
      </c>
      <c r="D11" s="231">
        <v>99681.63141300001</v>
      </c>
      <c r="E11" s="231">
        <v>118789.03141300002</v>
      </c>
      <c r="F11" s="231">
        <v>118789.03141300002</v>
      </c>
      <c r="G11" s="231">
        <v>118789.03141300002</v>
      </c>
      <c r="H11" s="231">
        <v>118789.03141300002</v>
      </c>
      <c r="I11" s="231">
        <v>121539.03141300002</v>
      </c>
      <c r="J11" s="231">
        <v>121539.03141300002</v>
      </c>
      <c r="K11" s="231">
        <v>121539.03141300002</v>
      </c>
      <c r="L11" s="231">
        <v>121539.03141300002</v>
      </c>
      <c r="M11" s="231">
        <v>121539.03141300002</v>
      </c>
      <c r="N11" s="232">
        <v>121539.03141300002</v>
      </c>
    </row>
    <row r="12" spans="1:14" x14ac:dyDescent="0.15">
      <c r="A12" s="226"/>
      <c r="B12" s="233"/>
      <c r="C12" s="233"/>
      <c r="D12" s="233"/>
      <c r="E12" s="233"/>
      <c r="F12" s="233"/>
      <c r="G12" s="233"/>
      <c r="H12" s="233"/>
      <c r="I12" s="233"/>
      <c r="J12" s="233"/>
      <c r="K12" s="233"/>
      <c r="L12" s="233"/>
      <c r="M12" s="233"/>
      <c r="N12" s="234"/>
    </row>
    <row r="13" spans="1:14" x14ac:dyDescent="0.15">
      <c r="A13" s="214" t="s">
        <v>291</v>
      </c>
      <c r="B13" s="231"/>
      <c r="C13" s="231"/>
      <c r="D13" s="231"/>
      <c r="E13" s="231"/>
      <c r="F13" s="231"/>
      <c r="G13" s="231"/>
      <c r="H13" s="231"/>
      <c r="I13" s="231"/>
      <c r="J13" s="231"/>
      <c r="K13" s="231"/>
      <c r="L13" s="231"/>
      <c r="M13" s="231"/>
      <c r="N13" s="232"/>
    </row>
    <row r="14" spans="1:14" x14ac:dyDescent="0.15">
      <c r="A14" s="235" t="s">
        <v>177</v>
      </c>
      <c r="B14" s="236">
        <v>80000</v>
      </c>
      <c r="C14" s="236">
        <v>13750</v>
      </c>
      <c r="D14" s="236">
        <v>47022.727272727272</v>
      </c>
      <c r="E14" s="236">
        <v>47022.727272727272</v>
      </c>
      <c r="F14" s="236">
        <v>47022.727272727272</v>
      </c>
      <c r="G14" s="236">
        <v>47022.727272727272</v>
      </c>
      <c r="H14" s="236">
        <v>47022.727272727272</v>
      </c>
      <c r="I14" s="236">
        <v>47022.727272727272</v>
      </c>
      <c r="J14" s="236">
        <v>47022.727272727272</v>
      </c>
      <c r="K14" s="236">
        <v>47022.727272727272</v>
      </c>
      <c r="L14" s="236">
        <v>47022.727272727272</v>
      </c>
      <c r="M14" s="236">
        <v>47022.727272727272</v>
      </c>
      <c r="N14" s="237">
        <v>47022.727272727272</v>
      </c>
    </row>
    <row r="15" spans="1:14" x14ac:dyDescent="0.15">
      <c r="A15" s="214" t="s">
        <v>178</v>
      </c>
      <c r="B15" s="231">
        <f>B14*0.0765</f>
        <v>6120</v>
      </c>
      <c r="C15" s="231">
        <v>3133.6249999999995</v>
      </c>
      <c r="D15" s="231">
        <v>13961.934090909092</v>
      </c>
      <c r="E15" s="231">
        <v>13961.934090909092</v>
      </c>
      <c r="F15" s="231">
        <v>13961.934090909092</v>
      </c>
      <c r="G15" s="231">
        <v>13961.934090909092</v>
      </c>
      <c r="H15" s="231">
        <v>13961.934090909092</v>
      </c>
      <c r="I15" s="231">
        <v>13961.934090909092</v>
      </c>
      <c r="J15" s="231">
        <v>13961.934090909092</v>
      </c>
      <c r="K15" s="231">
        <v>13961.934090909092</v>
      </c>
      <c r="L15" s="231">
        <v>13961.934090909092</v>
      </c>
      <c r="M15" s="231">
        <v>13961.934090909092</v>
      </c>
      <c r="N15" s="232">
        <v>13961.934090909092</v>
      </c>
    </row>
    <row r="16" spans="1:14" x14ac:dyDescent="0.15">
      <c r="A16" s="235" t="s">
        <v>179</v>
      </c>
      <c r="B16" s="236"/>
      <c r="C16" s="236">
        <v>23750</v>
      </c>
      <c r="D16" s="236">
        <v>33611.818181818177</v>
      </c>
      <c r="E16" s="236">
        <v>27361.81818181818</v>
      </c>
      <c r="F16" s="236">
        <v>27361.81818181818</v>
      </c>
      <c r="G16" s="236">
        <v>27361.81818181818</v>
      </c>
      <c r="H16" s="236">
        <v>27361.81818181818</v>
      </c>
      <c r="I16" s="236">
        <v>27361.81818181818</v>
      </c>
      <c r="J16" s="236">
        <v>27361.81818181818</v>
      </c>
      <c r="K16" s="236">
        <v>27361.81818181818</v>
      </c>
      <c r="L16" s="236">
        <v>27361.81818181818</v>
      </c>
      <c r="M16" s="236">
        <v>29861.81818181818</v>
      </c>
      <c r="N16" s="237">
        <v>29861.81818181818</v>
      </c>
    </row>
    <row r="17" spans="1:14" x14ac:dyDescent="0.15">
      <c r="A17" s="214" t="s">
        <v>180</v>
      </c>
      <c r="B17" s="231">
        <v>5000</v>
      </c>
      <c r="C17" s="231">
        <v>1375</v>
      </c>
      <c r="D17" s="231">
        <v>3715</v>
      </c>
      <c r="E17" s="231">
        <v>14165.440000000002</v>
      </c>
      <c r="F17" s="231">
        <v>14165.440000000002</v>
      </c>
      <c r="G17" s="231">
        <v>14165.440000000002</v>
      </c>
      <c r="H17" s="231">
        <v>14165.440000000002</v>
      </c>
      <c r="I17" s="231">
        <v>14165.440000000002</v>
      </c>
      <c r="J17" s="231">
        <v>14165.440000000002</v>
      </c>
      <c r="K17" s="231">
        <v>14165.440000000002</v>
      </c>
      <c r="L17" s="231">
        <v>14165.440000000002</v>
      </c>
      <c r="M17" s="231">
        <v>14165.440000000002</v>
      </c>
      <c r="N17" s="232">
        <v>14165.440000000002</v>
      </c>
    </row>
    <row r="18" spans="1:14" x14ac:dyDescent="0.15">
      <c r="A18" s="214" t="s">
        <v>181</v>
      </c>
      <c r="B18" s="231"/>
      <c r="C18" s="231">
        <v>12800</v>
      </c>
      <c r="D18" s="231">
        <v>0</v>
      </c>
      <c r="E18" s="231">
        <v>0</v>
      </c>
      <c r="F18" s="231">
        <v>0</v>
      </c>
      <c r="G18" s="231">
        <v>0</v>
      </c>
      <c r="H18" s="231">
        <v>0</v>
      </c>
      <c r="I18" s="231">
        <v>0</v>
      </c>
      <c r="J18" s="231">
        <v>0</v>
      </c>
      <c r="K18" s="231">
        <v>0</v>
      </c>
      <c r="L18" s="231">
        <v>0</v>
      </c>
      <c r="M18" s="231">
        <v>0</v>
      </c>
      <c r="N18" s="232">
        <v>0</v>
      </c>
    </row>
    <row r="19" spans="1:14" x14ac:dyDescent="0.15">
      <c r="A19" s="214" t="s">
        <v>184</v>
      </c>
      <c r="B19" s="231"/>
      <c r="C19" s="231">
        <v>6033</v>
      </c>
      <c r="D19" s="231">
        <v>6033</v>
      </c>
      <c r="E19" s="231">
        <v>6033</v>
      </c>
      <c r="F19" s="231">
        <v>6033</v>
      </c>
      <c r="G19" s="231">
        <v>6033</v>
      </c>
      <c r="H19" s="231">
        <v>6033</v>
      </c>
      <c r="I19" s="231">
        <v>6033</v>
      </c>
      <c r="J19" s="231">
        <v>6033</v>
      </c>
      <c r="K19" s="231">
        <v>6033</v>
      </c>
      <c r="L19" s="231">
        <v>6033</v>
      </c>
      <c r="M19" s="231">
        <v>6033</v>
      </c>
      <c r="N19" s="232">
        <v>6033</v>
      </c>
    </row>
    <row r="20" spans="1:14" x14ac:dyDescent="0.15">
      <c r="A20" s="214" t="s">
        <v>301</v>
      </c>
      <c r="B20" s="231">
        <f>SUM(B14:B19)</f>
        <v>91120</v>
      </c>
      <c r="C20" s="231">
        <v>60841.625</v>
      </c>
      <c r="D20" s="231">
        <v>104344.47954545454</v>
      </c>
      <c r="E20" s="231">
        <v>108544.91954545454</v>
      </c>
      <c r="F20" s="231">
        <v>108544.91954545454</v>
      </c>
      <c r="G20" s="231">
        <v>108544.91954545454</v>
      </c>
      <c r="H20" s="231">
        <v>108544.91954545454</v>
      </c>
      <c r="I20" s="231">
        <v>108544.91954545454</v>
      </c>
      <c r="J20" s="231">
        <v>108544.91954545454</v>
      </c>
      <c r="K20" s="231">
        <v>108544.91954545454</v>
      </c>
      <c r="L20" s="231">
        <v>108544.91954545454</v>
      </c>
      <c r="M20" s="231">
        <v>111044.91954545454</v>
      </c>
      <c r="N20" s="232">
        <v>111044.91954545454</v>
      </c>
    </row>
    <row r="21" spans="1:14" x14ac:dyDescent="0.15">
      <c r="A21" s="226"/>
      <c r="B21" s="233"/>
      <c r="C21" s="227"/>
      <c r="D21" s="227"/>
      <c r="E21" s="227"/>
      <c r="F21" s="227"/>
      <c r="G21" s="227"/>
      <c r="H21" s="227"/>
      <c r="I21" s="227"/>
      <c r="J21" s="227"/>
      <c r="K21" s="227"/>
      <c r="L21" s="227"/>
      <c r="M21" s="227"/>
      <c r="N21" s="238"/>
    </row>
    <row r="22" spans="1:14" x14ac:dyDescent="0.15">
      <c r="A22" s="214" t="s">
        <v>292</v>
      </c>
      <c r="B22" s="231">
        <f>B8-B20</f>
        <v>158880</v>
      </c>
      <c r="C22" s="239">
        <v>-60841.625</v>
      </c>
      <c r="D22" s="239">
        <v>-4662.8481324545282</v>
      </c>
      <c r="E22" s="239">
        <v>10244.111867545478</v>
      </c>
      <c r="F22" s="239">
        <v>10244.111867545478</v>
      </c>
      <c r="G22" s="239">
        <v>10244.111867545478</v>
      </c>
      <c r="H22" s="239">
        <v>10244.111867545478</v>
      </c>
      <c r="I22" s="239">
        <v>12994.111867545478</v>
      </c>
      <c r="J22" s="239">
        <v>12994.111867545478</v>
      </c>
      <c r="K22" s="239">
        <v>12994.111867545478</v>
      </c>
      <c r="L22" s="239">
        <v>12994.111867545478</v>
      </c>
      <c r="M22" s="239">
        <v>10494.111867545478</v>
      </c>
      <c r="N22" s="240">
        <v>10494.111867545478</v>
      </c>
    </row>
    <row r="23" spans="1:14" x14ac:dyDescent="0.15">
      <c r="A23" s="226"/>
      <c r="B23" s="233"/>
      <c r="C23" s="227"/>
      <c r="D23" s="227"/>
      <c r="E23" s="227"/>
      <c r="F23" s="227"/>
      <c r="G23" s="227"/>
      <c r="H23" s="227"/>
      <c r="I23" s="227"/>
      <c r="J23" s="227"/>
      <c r="K23" s="227"/>
      <c r="L23" s="227"/>
      <c r="M23" s="227"/>
      <c r="N23" s="238"/>
    </row>
    <row r="24" spans="1:14" ht="14" thickBot="1" x14ac:dyDescent="0.2">
      <c r="A24" s="241" t="s">
        <v>293</v>
      </c>
      <c r="B24" s="242">
        <f>B22</f>
        <v>158880</v>
      </c>
      <c r="C24" s="243">
        <f>C5+C22</f>
        <v>98038.375</v>
      </c>
      <c r="D24" s="243">
        <f t="shared" ref="D24:N24" si="1">D5+D22</f>
        <v>93375.526867545472</v>
      </c>
      <c r="E24" s="243">
        <f t="shared" si="1"/>
        <v>103619.63873509095</v>
      </c>
      <c r="F24" s="243">
        <f t="shared" si="1"/>
        <v>113863.75060263643</v>
      </c>
      <c r="G24" s="243">
        <f t="shared" si="1"/>
        <v>124107.86247018191</v>
      </c>
      <c r="H24" s="243">
        <f t="shared" si="1"/>
        <v>134351.97433772738</v>
      </c>
      <c r="I24" s="243">
        <f t="shared" si="1"/>
        <v>147346.08620527288</v>
      </c>
      <c r="J24" s="243">
        <f t="shared" si="1"/>
        <v>160340.19807281834</v>
      </c>
      <c r="K24" s="243">
        <f t="shared" si="1"/>
        <v>173334.3099403638</v>
      </c>
      <c r="L24" s="243">
        <f t="shared" si="1"/>
        <v>186328.42180790927</v>
      </c>
      <c r="M24" s="243">
        <f t="shared" si="1"/>
        <v>196822.53367545473</v>
      </c>
      <c r="N24" s="244">
        <f t="shared" si="1"/>
        <v>207316.6455430002</v>
      </c>
    </row>
    <row r="25" spans="1:14" ht="14" thickTop="1" x14ac:dyDescent="0.15"/>
  </sheetData>
  <mergeCells count="1">
    <mergeCell ref="A1:N2"/>
  </mergeCells>
  <pageMargins left="0.7" right="0.7" top="0.75" bottom="0.75" header="0.3" footer="0.3"/>
  <pageSetup scale="95" orientation="landscape" horizontalDpi="4294967293" verticalDpi="429496729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27"/>
  <sheetViews>
    <sheetView zoomScale="120" zoomScaleNormal="120" workbookViewId="0">
      <selection activeCell="M6" sqref="M6"/>
    </sheetView>
  </sheetViews>
  <sheetFormatPr baseColWidth="10" defaultColWidth="8.83203125" defaultRowHeight="13" x14ac:dyDescent="0.15"/>
  <cols>
    <col min="1" max="1" width="5" bestFit="1" customWidth="1"/>
    <col min="2" max="2" width="40.1640625" customWidth="1"/>
    <col min="3" max="3" width="0.83203125" customWidth="1"/>
    <col min="4" max="4" width="10.33203125" style="74" hidden="1" customWidth="1"/>
    <col min="5" max="9" width="12.6640625" customWidth="1"/>
    <col min="10" max="12" width="8.83203125" customWidth="1"/>
    <col min="13" max="13" width="23.1640625" bestFit="1" customWidth="1"/>
    <col min="14" max="14" width="12.33203125" bestFit="1" customWidth="1"/>
  </cols>
  <sheetData>
    <row r="1" spans="1:16" ht="29" customHeight="1" x14ac:dyDescent="0.15">
      <c r="B1" s="406" t="s">
        <v>335</v>
      </c>
      <c r="C1" s="406"/>
      <c r="D1" s="406"/>
      <c r="E1" s="406"/>
      <c r="F1" s="406"/>
      <c r="G1" s="406"/>
      <c r="H1" s="406"/>
      <c r="I1" s="406"/>
      <c r="J1" s="406"/>
      <c r="K1" s="406"/>
    </row>
    <row r="2" spans="1:16" x14ac:dyDescent="0.15">
      <c r="E2" s="2"/>
      <c r="F2" s="8"/>
    </row>
    <row r="3" spans="1:16" x14ac:dyDescent="0.15">
      <c r="D3" s="74" t="s">
        <v>239</v>
      </c>
      <c r="E3" s="4" t="s">
        <v>403</v>
      </c>
      <c r="F3" s="4" t="s">
        <v>404</v>
      </c>
      <c r="G3" s="4" t="s">
        <v>336</v>
      </c>
      <c r="H3" s="4" t="s">
        <v>337</v>
      </c>
      <c r="I3" s="4" t="s">
        <v>405</v>
      </c>
    </row>
    <row r="4" spans="1:16" x14ac:dyDescent="0.15">
      <c r="E4" s="3" t="s">
        <v>96</v>
      </c>
      <c r="F4" s="3" t="s">
        <v>96</v>
      </c>
      <c r="G4" s="3" t="s">
        <v>96</v>
      </c>
      <c r="H4" s="3" t="s">
        <v>96</v>
      </c>
      <c r="I4" s="3" t="s">
        <v>96</v>
      </c>
    </row>
    <row r="5" spans="1:16" x14ac:dyDescent="0.15">
      <c r="A5" s="66"/>
      <c r="F5" s="8"/>
    </row>
    <row r="6" spans="1:16" x14ac:dyDescent="0.15">
      <c r="A6" s="1"/>
      <c r="B6" s="9" t="s">
        <v>177</v>
      </c>
      <c r="C6" s="5"/>
      <c r="D6" s="179"/>
      <c r="E6" s="67">
        <f>'Staffing Wksht'!V6+'Contract Services Wksht'!E17</f>
        <v>1105214.3800000001</v>
      </c>
      <c r="F6" s="67">
        <f>'Staffing Wksht'!Y6+'Contract Services Wksht'!F17</f>
        <v>1309418.6676</v>
      </c>
      <c r="G6" s="67">
        <f>'Staffing Wksht'!AB6+'Contract Services Wksht'!G17</f>
        <v>1622834.7051359999</v>
      </c>
      <c r="H6" s="67">
        <f>'Staffing Wksht'!AE6+'Contract Services Wksht'!H17</f>
        <v>2035971.1192387196</v>
      </c>
      <c r="I6" s="67">
        <f>'Staffing Wksht'!AH6+'Contract Services Wksht'!I17</f>
        <v>2198861.7724766396</v>
      </c>
      <c r="M6" s="9"/>
    </row>
    <row r="7" spans="1:16" x14ac:dyDescent="0.15">
      <c r="A7" s="1"/>
      <c r="B7" t="s">
        <v>178</v>
      </c>
      <c r="C7" s="68"/>
      <c r="D7" s="80"/>
      <c r="E7" s="7">
        <f>ROUND(E6/2*0.145+E6/2*0.14+E6*0.0765+('benefit breakdown'!$B$8*'Staffing Wksht'!W6),0)</f>
        <v>388442</v>
      </c>
      <c r="F7" s="69">
        <f>F6*'benefit breakdown'!B6+('benefit breakdown'!B8*'Staffing Wksht'!Z6)</f>
        <v>477428.23487339995</v>
      </c>
      <c r="G7" s="69">
        <f>G6*'benefit breakdown'!B6+('benefit breakdown'!B8*'Staffing Wksht'!AC6)</f>
        <v>587841.88718762388</v>
      </c>
      <c r="H7" s="69">
        <f>H6*'benefit breakdown'!B6+('benefit breakdown'!B8*'Staffing Wksht'!AF6)</f>
        <v>732055.60291137639</v>
      </c>
      <c r="I7" s="69">
        <f>I6*'benefit breakdown'!B6+('benefit breakdown'!B8*'Staffing Wksht'!AI6)</f>
        <v>791559.88260357559</v>
      </c>
    </row>
    <row r="8" spans="1:16" x14ac:dyDescent="0.15">
      <c r="A8" s="70"/>
      <c r="B8" s="43" t="s">
        <v>179</v>
      </c>
      <c r="C8" s="71"/>
      <c r="D8" s="69"/>
      <c r="E8" s="69">
        <f>'6300 and 6400'!D6+'6300 and 6400'!D9+'6300 and 6400'!D15</f>
        <v>15000</v>
      </c>
      <c r="F8" s="69">
        <f>'6300 and 6400'!E6+'6300 and 6400'!E9+'6300 and 6400'!E15</f>
        <v>20625</v>
      </c>
      <c r="G8" s="69">
        <f>'6300 and 6400'!F6+'6300 and 6400'!F9+'6300 and 6400'!F15</f>
        <v>26250</v>
      </c>
      <c r="H8" s="69">
        <f>'6300 and 6400'!G6+'6300 and 6400'!G9+'6300 and 6400'!G15</f>
        <v>31875</v>
      </c>
      <c r="I8" s="69">
        <f>'6300 and 6400'!H6+'6300 and 6400'!H9+'6300 and 6400'!H15</f>
        <v>33750</v>
      </c>
      <c r="J8" s="69"/>
      <c r="M8" s="43"/>
      <c r="N8" s="257"/>
    </row>
    <row r="9" spans="1:16" x14ac:dyDescent="0.15">
      <c r="A9" s="1"/>
      <c r="B9" s="43" t="s">
        <v>180</v>
      </c>
      <c r="C9" s="71"/>
      <c r="D9" s="69">
        <v>5500</v>
      </c>
      <c r="E9" s="69">
        <f>SUMIFS('6300 and 6400'!D$4:D$39,'6300 and 6400'!$M$4:$M$39,'6300 and 6400'!$M$4,'6300 and 6400'!$N$4:$N$39,'6300 and 6400'!$N$7)+'6300 and 6400'!D40</f>
        <v>46500</v>
      </c>
      <c r="F9" s="69">
        <f>SUMIFS('6300 and 6400'!E$4:E$39,'6300 and 6400'!$M$4:$M$39,'6300 and 6400'!$M$4,'6300 and 6400'!$N$4:$N$39,'6300 and 6400'!$N$7)</f>
        <v>61875</v>
      </c>
      <c r="G9" s="69">
        <f>SUMIFS('6300 and 6400'!F$4:F$39,'6300 and 6400'!$M$4:$M$39,'6300 and 6400'!$M$4,'6300 and 6400'!$N$4:$N$39,'6300 and 6400'!$N$7)</f>
        <v>78750</v>
      </c>
      <c r="H9" s="69">
        <f>SUMIFS('6300 and 6400'!G$4:G$39,'6300 and 6400'!$M$4:$M$39,'6300 and 6400'!$M$4,'6300 and 6400'!$N$4:$N$39,'6300 and 6400'!$N$7)</f>
        <v>99875</v>
      </c>
      <c r="I9" s="69">
        <f>SUMIFS('6300 and 6400'!H$4:H$39,'6300 and 6400'!$M$4:$M$39,'6300 and 6400'!$M$4,'6300 and 6400'!$N$4:$N$39,'6300 and 6400'!$N$7)</f>
        <v>105750</v>
      </c>
      <c r="M9" s="190"/>
      <c r="N9" s="74"/>
    </row>
    <row r="10" spans="1:16" x14ac:dyDescent="0.15">
      <c r="B10" t="s">
        <v>181</v>
      </c>
      <c r="C10" s="68"/>
      <c r="D10" s="80">
        <v>56000</v>
      </c>
      <c r="E10" s="76">
        <f>'6300 and 6400'!D11</f>
        <v>1800</v>
      </c>
      <c r="F10" s="76">
        <f>SUMIFS('6300 and 6400'!E$4:E$39,'6300 and 6400'!$M$4:$M$39,'6300 and 6400'!$M$4,'6300 and 6400'!$N$4:$N$39,'6300 and 6400'!$N$8)</f>
        <v>7600</v>
      </c>
      <c r="G10" s="76">
        <f>SUMIFS('6300 and 6400'!F$4:F$39,'6300 and 6400'!$M$4:$M$39,'6300 and 6400'!$M$4,'6300 and 6400'!$N$4:$N$39,'6300 and 6400'!$N$8)</f>
        <v>3600</v>
      </c>
      <c r="H10" s="76">
        <f>SUMIFS('6300 and 6400'!G$4:G$39,'6300 and 6400'!$M$4:$M$39,'6300 and 6400'!$M$4,'6300 and 6400'!$N$4:$N$39,'6300 and 6400'!$N$8)</f>
        <v>26600</v>
      </c>
      <c r="I10" s="76">
        <f>SUMIFS('6300 and 6400'!H$4:H$39,'6300 and 6400'!$M$4:$M$39,'6300 and 6400'!$M$4,'6300 and 6400'!$N$4:$N$39,'6300 and 6400'!$N$8)</f>
        <v>25600</v>
      </c>
    </row>
    <row r="11" spans="1:16" x14ac:dyDescent="0.15">
      <c r="A11" s="1">
        <v>1100</v>
      </c>
      <c r="B11" s="70" t="s">
        <v>442</v>
      </c>
      <c r="D11" s="180">
        <f t="shared" ref="D11:I11" si="0">SUM(D6:D10)</f>
        <v>61500</v>
      </c>
      <c r="E11" s="186">
        <f t="shared" si="0"/>
        <v>1556956.3800000001</v>
      </c>
      <c r="F11" s="73">
        <f t="shared" si="0"/>
        <v>1876946.9024733999</v>
      </c>
      <c r="G11" s="73">
        <f t="shared" si="0"/>
        <v>2319276.5923236236</v>
      </c>
      <c r="H11" s="73">
        <f t="shared" si="0"/>
        <v>2926376.7221500957</v>
      </c>
      <c r="I11" s="73">
        <f t="shared" si="0"/>
        <v>3155521.6550802151</v>
      </c>
      <c r="P11" s="74"/>
    </row>
    <row r="12" spans="1:16" x14ac:dyDescent="0.15">
      <c r="E12" s="74"/>
      <c r="F12" s="74"/>
      <c r="G12" s="74"/>
      <c r="H12" s="74"/>
      <c r="I12" s="74"/>
    </row>
    <row r="13" spans="1:16" x14ac:dyDescent="0.15">
      <c r="A13" s="1"/>
      <c r="E13" s="74"/>
      <c r="F13" s="74"/>
      <c r="G13" s="74"/>
      <c r="H13" s="74"/>
      <c r="I13" s="74"/>
    </row>
    <row r="14" spans="1:16" x14ac:dyDescent="0.15">
      <c r="A14" s="6"/>
      <c r="B14" s="9" t="s">
        <v>177</v>
      </c>
      <c r="E14" s="67">
        <f>'Staffing Wksht'!V7</f>
        <v>102630</v>
      </c>
      <c r="F14" s="67">
        <f>'Staffing Wksht'!Y7</f>
        <v>104682.6</v>
      </c>
      <c r="G14" s="67">
        <f>'Staffing Wksht'!AB7</f>
        <v>161397.25199999998</v>
      </c>
      <c r="H14" s="67">
        <f>'Staffing Wksht'!AE7</f>
        <v>220338.61703999998</v>
      </c>
      <c r="I14" s="67">
        <f>'Staffing Wksht'!AH7</f>
        <v>224514.82400000002</v>
      </c>
    </row>
    <row r="15" spans="1:16" x14ac:dyDescent="0.15">
      <c r="A15" s="6"/>
      <c r="B15" t="s">
        <v>178</v>
      </c>
      <c r="C15" s="68"/>
      <c r="D15" s="80"/>
      <c r="E15" s="7">
        <f>ROUND(E14/2*0.145+E14/2*0.14+E14*0.0765+('benefit breakdown'!$B$8*'Staffing Wksht'!W7),0)</f>
        <v>34188</v>
      </c>
      <c r="F15" s="67">
        <f>F14*'benefit breakdown'!$B$6+('benefit breakdown'!$B$8*'Staffing Wksht'!Z7)</f>
        <v>34899.195899999999</v>
      </c>
      <c r="G15" s="67">
        <f>G14*'benefit breakdown'!$B$6+('benefit breakdown'!$B$8*'Staffing Wksht'!AC7)</f>
        <v>53317.491317999993</v>
      </c>
      <c r="H15" s="67">
        <f>H14*'benefit breakdown'!$B$6+('benefit breakdown'!$B$8*'Staffing Wksht'!AF7)</f>
        <v>72229.003674359992</v>
      </c>
      <c r="I15" s="67">
        <f>I14*'benefit breakdown'!$B$6+('benefit breakdown'!$B$8*'Staffing Wksht'!AI7)</f>
        <v>73154.033515999996</v>
      </c>
    </row>
    <row r="16" spans="1:16" x14ac:dyDescent="0.15">
      <c r="A16" s="75"/>
      <c r="B16" s="43" t="s">
        <v>179</v>
      </c>
      <c r="C16" s="71"/>
      <c r="D16" s="69"/>
      <c r="E16" s="69">
        <f>'6300 and 6400'!D16</f>
        <v>60000</v>
      </c>
      <c r="F16" s="69">
        <f>'6300 and 6400'!E16</f>
        <v>82500</v>
      </c>
      <c r="G16" s="69">
        <f>'6300 and 6400'!F16</f>
        <v>105000</v>
      </c>
      <c r="H16" s="69">
        <f>'6300 and 6400'!G16</f>
        <v>127500</v>
      </c>
      <c r="I16" s="69">
        <f>'6300 and 6400'!H16</f>
        <v>135000</v>
      </c>
    </row>
    <row r="17" spans="1:9" x14ac:dyDescent="0.15">
      <c r="A17" s="6"/>
      <c r="B17" s="42" t="s">
        <v>180</v>
      </c>
      <c r="C17" s="68"/>
      <c r="D17" s="80"/>
      <c r="E17" s="69">
        <f>'6300 and 6400'!D17</f>
        <v>3000</v>
      </c>
      <c r="F17" s="69">
        <f>'6300 and 6400'!E17</f>
        <v>4125</v>
      </c>
      <c r="G17" s="69">
        <f>'6300 and 6400'!F17</f>
        <v>5250</v>
      </c>
      <c r="H17" s="69">
        <f>'6300 and 6400'!G17</f>
        <v>6375</v>
      </c>
      <c r="I17" s="69">
        <f>'6300 and 6400'!H17</f>
        <v>6750</v>
      </c>
    </row>
    <row r="18" spans="1:9" x14ac:dyDescent="0.15">
      <c r="B18" t="s">
        <v>181</v>
      </c>
      <c r="C18" s="68"/>
      <c r="D18" s="80"/>
      <c r="E18" s="76">
        <v>0</v>
      </c>
      <c r="F18" s="72">
        <v>0</v>
      </c>
      <c r="G18" s="72">
        <v>0</v>
      </c>
      <c r="H18" s="72">
        <v>0</v>
      </c>
      <c r="I18" s="72">
        <v>0</v>
      </c>
    </row>
    <row r="19" spans="1:9" x14ac:dyDescent="0.15">
      <c r="A19" s="1">
        <v>1200</v>
      </c>
      <c r="B19" s="70" t="s">
        <v>182</v>
      </c>
      <c r="D19" s="180">
        <f t="shared" ref="D19:I19" si="1">SUM(D14:D18)</f>
        <v>0</v>
      </c>
      <c r="E19" s="73">
        <f t="shared" si="1"/>
        <v>199818</v>
      </c>
      <c r="F19" s="73">
        <f t="shared" si="1"/>
        <v>226206.7959</v>
      </c>
      <c r="G19" s="73">
        <f t="shared" si="1"/>
        <v>324964.74331799999</v>
      </c>
      <c r="H19" s="73">
        <f t="shared" si="1"/>
        <v>426442.62071435997</v>
      </c>
      <c r="I19" s="73">
        <f t="shared" si="1"/>
        <v>439418.85751600005</v>
      </c>
    </row>
    <row r="20" spans="1:9" x14ac:dyDescent="0.15">
      <c r="E20" s="74"/>
      <c r="F20" s="74"/>
      <c r="G20" s="74"/>
      <c r="H20" s="74"/>
      <c r="I20" s="74"/>
    </row>
    <row r="21" spans="1:9" x14ac:dyDescent="0.15">
      <c r="A21" s="66"/>
      <c r="E21" s="74"/>
      <c r="F21" s="74"/>
      <c r="G21" s="74"/>
      <c r="H21" s="74"/>
      <c r="I21" s="74"/>
    </row>
    <row r="22" spans="1:9" x14ac:dyDescent="0.15">
      <c r="A22" s="6"/>
      <c r="B22" s="9" t="s">
        <v>177</v>
      </c>
      <c r="E22" s="67">
        <f>'Staffing Wksht'!V20</f>
        <v>218229</v>
      </c>
      <c r="F22" s="67">
        <f>'Staffing Wksht'!Y20</f>
        <v>259293.58000000002</v>
      </c>
      <c r="G22" s="67">
        <f>'Staffing Wksht'!AB20</f>
        <v>267743.45160000003</v>
      </c>
      <c r="H22" s="67">
        <f>'Staffing Wksht'!AE20</f>
        <v>276494.18623200001</v>
      </c>
      <c r="I22" s="67">
        <f>'Staffing Wksht'!AH20</f>
        <v>285557.12852688</v>
      </c>
    </row>
    <row r="23" spans="1:9" x14ac:dyDescent="0.15">
      <c r="A23" s="6"/>
      <c r="B23" t="s">
        <v>178</v>
      </c>
      <c r="C23" s="68"/>
      <c r="D23" s="80"/>
      <c r="E23" s="7">
        <f>ROUND(E22/2*0.145+E22/2*0.14+E22*0.0765+('benefit breakdown'!$B$8*'Staffing Wksht'!W20),0)</f>
        <v>65360</v>
      </c>
      <c r="F23" s="69">
        <f>F22*'benefit breakdown'!$B$6+('benefit breakdown'!$B$8*'Staffing Wksht'!Z20)</f>
        <v>80857.527969999996</v>
      </c>
      <c r="G23" s="69">
        <f>G22*'benefit breakdown'!$B$6+('benefit breakdown'!$B$8*'Staffing Wksht'!AC20)</f>
        <v>82729.174529399999</v>
      </c>
      <c r="H23" s="69">
        <f>H22*'benefit breakdown'!$B$6+('benefit breakdown'!$B$8*'Staffing Wksht'!AF20)</f>
        <v>84667.462250387995</v>
      </c>
      <c r="I23" s="69">
        <f>I22*'benefit breakdown'!$B$6+('benefit breakdown'!$B$8*'Staffing Wksht'!AI20)</f>
        <v>86674.903968703904</v>
      </c>
    </row>
    <row r="24" spans="1:9" x14ac:dyDescent="0.15">
      <c r="A24" s="6"/>
      <c r="B24" s="42" t="s">
        <v>179</v>
      </c>
      <c r="C24" s="68"/>
      <c r="D24" s="80"/>
      <c r="E24" s="69">
        <f>'6300 and 6400'!D18</f>
        <v>3500</v>
      </c>
      <c r="F24" s="69">
        <f>'6300 and 6400'!E18</f>
        <v>4000</v>
      </c>
      <c r="G24" s="69">
        <f>'6300 and 6400'!F18</f>
        <v>4000</v>
      </c>
      <c r="H24" s="69">
        <f>'6300 and 6400'!G18</f>
        <v>4000</v>
      </c>
      <c r="I24" s="69">
        <f>'6300 and 6400'!H18</f>
        <v>4000</v>
      </c>
    </row>
    <row r="25" spans="1:9" x14ac:dyDescent="0.15">
      <c r="A25" s="6"/>
      <c r="B25" s="42" t="s">
        <v>180</v>
      </c>
      <c r="C25" s="68"/>
      <c r="D25" s="80"/>
      <c r="E25" s="69"/>
      <c r="F25" s="69"/>
      <c r="G25" s="69"/>
      <c r="H25" s="69"/>
      <c r="I25" s="69"/>
    </row>
    <row r="26" spans="1:9" x14ac:dyDescent="0.15">
      <c r="A26" s="1"/>
      <c r="B26" t="s">
        <v>181</v>
      </c>
      <c r="C26" s="68"/>
      <c r="D26" s="80"/>
      <c r="E26" s="72"/>
      <c r="F26" s="72"/>
      <c r="G26" s="72"/>
      <c r="H26" s="72"/>
      <c r="I26" s="72"/>
    </row>
    <row r="27" spans="1:9" x14ac:dyDescent="0.15">
      <c r="A27" s="1">
        <v>2100</v>
      </c>
      <c r="B27" s="70" t="s">
        <v>443</v>
      </c>
      <c r="D27" s="180">
        <f t="shared" ref="D27:I27" si="2">SUM(D22:D26)</f>
        <v>0</v>
      </c>
      <c r="E27" s="73">
        <f t="shared" si="2"/>
        <v>287089</v>
      </c>
      <c r="F27" s="73">
        <f t="shared" si="2"/>
        <v>344151.10797000001</v>
      </c>
      <c r="G27" s="73">
        <f t="shared" si="2"/>
        <v>354472.62612940004</v>
      </c>
      <c r="H27" s="73">
        <f t="shared" si="2"/>
        <v>365161.648482388</v>
      </c>
      <c r="I27" s="73">
        <f t="shared" si="2"/>
        <v>376232.03249558387</v>
      </c>
    </row>
    <row r="28" spans="1:9" x14ac:dyDescent="0.15">
      <c r="A28" s="1"/>
      <c r="B28" s="70"/>
      <c r="E28" s="73"/>
      <c r="F28" s="73"/>
      <c r="G28" s="73"/>
      <c r="H28" s="73"/>
      <c r="I28" s="73"/>
    </row>
    <row r="29" spans="1:9" x14ac:dyDescent="0.15">
      <c r="A29" s="1"/>
      <c r="B29" s="70"/>
      <c r="E29" s="73"/>
      <c r="F29" s="73"/>
      <c r="G29" s="73"/>
      <c r="H29" s="73"/>
      <c r="I29" s="73"/>
    </row>
    <row r="30" spans="1:9" x14ac:dyDescent="0.15">
      <c r="A30" s="6"/>
      <c r="B30" s="9" t="s">
        <v>177</v>
      </c>
      <c r="E30" s="77">
        <v>0</v>
      </c>
      <c r="F30" s="77">
        <v>0</v>
      </c>
      <c r="G30" s="77">
        <v>0</v>
      </c>
      <c r="H30" s="77">
        <v>0</v>
      </c>
      <c r="I30" s="77">
        <v>0</v>
      </c>
    </row>
    <row r="31" spans="1:9" x14ac:dyDescent="0.15">
      <c r="A31" s="6"/>
      <c r="B31" t="s">
        <v>178</v>
      </c>
      <c r="C31" s="68"/>
      <c r="D31" s="80"/>
      <c r="E31" s="69">
        <v>0</v>
      </c>
      <c r="F31" s="69">
        <v>0</v>
      </c>
      <c r="G31" s="69">
        <v>0</v>
      </c>
      <c r="H31" s="69">
        <f>+H30*0.26</f>
        <v>0</v>
      </c>
      <c r="I31" s="69">
        <v>0</v>
      </c>
    </row>
    <row r="32" spans="1:9" x14ac:dyDescent="0.15">
      <c r="A32" s="6"/>
      <c r="B32" s="42" t="s">
        <v>179</v>
      </c>
      <c r="C32" s="68"/>
      <c r="D32" s="80"/>
      <c r="E32" s="69">
        <f>'6300 and 6400'!D19</f>
        <v>15000</v>
      </c>
      <c r="F32" s="69">
        <f>'6300 and 6400'!E19</f>
        <v>15000</v>
      </c>
      <c r="G32" s="69">
        <f>'6300 and 6400'!F19</f>
        <v>15000</v>
      </c>
      <c r="H32" s="69">
        <f>'6300 and 6400'!G19</f>
        <v>15000</v>
      </c>
      <c r="I32" s="69">
        <f>'6300 and 6400'!H19</f>
        <v>15000</v>
      </c>
    </row>
    <row r="33" spans="1:9" x14ac:dyDescent="0.15">
      <c r="A33" s="6"/>
      <c r="B33" s="42" t="s">
        <v>180</v>
      </c>
      <c r="C33" s="68"/>
      <c r="D33" s="80"/>
      <c r="E33" s="69"/>
      <c r="F33" s="69"/>
      <c r="G33" s="69"/>
      <c r="H33" s="69"/>
      <c r="I33" s="69"/>
    </row>
    <row r="34" spans="1:9" x14ac:dyDescent="0.15">
      <c r="A34" s="1"/>
      <c r="B34" t="s">
        <v>181</v>
      </c>
      <c r="C34" s="68"/>
      <c r="D34" s="80"/>
      <c r="E34" s="72">
        <v>0</v>
      </c>
      <c r="F34" s="72">
        <v>0</v>
      </c>
      <c r="G34" s="72">
        <v>0</v>
      </c>
      <c r="H34" s="72">
        <v>0</v>
      </c>
      <c r="I34" s="72">
        <v>0</v>
      </c>
    </row>
    <row r="35" spans="1:9" x14ac:dyDescent="0.15">
      <c r="A35" s="1">
        <v>2200</v>
      </c>
      <c r="B35" s="70" t="s">
        <v>444</v>
      </c>
      <c r="D35" s="180">
        <f t="shared" ref="D35:I35" si="3">SUM(D30:D34)</f>
        <v>0</v>
      </c>
      <c r="E35" s="73">
        <f t="shared" si="3"/>
        <v>15000</v>
      </c>
      <c r="F35" s="73">
        <f t="shared" si="3"/>
        <v>15000</v>
      </c>
      <c r="G35" s="73">
        <f t="shared" si="3"/>
        <v>15000</v>
      </c>
      <c r="H35" s="73">
        <f t="shared" si="3"/>
        <v>15000</v>
      </c>
      <c r="I35" s="73">
        <f t="shared" si="3"/>
        <v>15000</v>
      </c>
    </row>
    <row r="36" spans="1:9" x14ac:dyDescent="0.15">
      <c r="A36" s="1"/>
      <c r="B36" s="70"/>
      <c r="E36" s="73"/>
      <c r="F36" s="73"/>
      <c r="G36" s="73"/>
      <c r="H36" s="73"/>
      <c r="I36" s="73"/>
    </row>
    <row r="37" spans="1:9" x14ac:dyDescent="0.15">
      <c r="E37" s="74"/>
      <c r="F37" s="74"/>
      <c r="G37" s="74"/>
      <c r="H37" s="74"/>
      <c r="I37" s="74"/>
    </row>
    <row r="38" spans="1:9" x14ac:dyDescent="0.15">
      <c r="A38" s="78"/>
      <c r="B38" s="9" t="s">
        <v>177</v>
      </c>
      <c r="E38" s="67"/>
      <c r="F38" s="67"/>
      <c r="G38" s="67"/>
      <c r="H38" s="67"/>
      <c r="I38" s="67"/>
    </row>
    <row r="39" spans="1:9" x14ac:dyDescent="0.15">
      <c r="A39" s="78"/>
      <c r="B39" t="s">
        <v>178</v>
      </c>
      <c r="C39" s="68"/>
      <c r="D39" s="80"/>
      <c r="E39" s="69">
        <f>'6300 and 6400'!D21</f>
        <v>4500</v>
      </c>
      <c r="F39" s="69">
        <f>'6300 and 6400'!E21</f>
        <v>5000</v>
      </c>
      <c r="G39" s="69">
        <f>'6300 and 6400'!F21</f>
        <v>5500</v>
      </c>
      <c r="H39" s="69">
        <f>'6300 and 6400'!G21</f>
        <v>6000</v>
      </c>
      <c r="I39" s="69">
        <f>'6300 and 6400'!H21</f>
        <v>6500</v>
      </c>
    </row>
    <row r="40" spans="1:9" x14ac:dyDescent="0.15">
      <c r="A40" s="78"/>
      <c r="B40" s="42" t="s">
        <v>179</v>
      </c>
      <c r="C40" s="68"/>
      <c r="D40" s="80">
        <v>12000</v>
      </c>
      <c r="E40" s="69">
        <f>SUMIFS('6300 and 6400'!$D$4:$D$39,'6300 and 6400'!$M$4:$M$39,'6300 and 6400'!$M$20,'6300 and 6400'!$N$4:$N$39,'6300 and 6400'!$N$19)</f>
        <v>34000</v>
      </c>
      <c r="F40" s="69">
        <f>SUMIFS('6300 and 6400'!E4:E59,'6300 and 6400'!$M$4:$M$59,'6300 and 6400'!$M$20,'6300 and 6400'!$N$4:$N$59,'6300 and 6400'!$N$19)</f>
        <v>37250</v>
      </c>
      <c r="G40" s="69">
        <f>SUMIFS('6300 and 6400'!F4:F39,'6300 and 6400'!$M$4:$M$39,'6300 and 6400'!$M$20,'6300 and 6400'!$N$4:$N$39,'6300 and 6400'!$N$19)</f>
        <v>47500</v>
      </c>
      <c r="H40" s="69">
        <f>SUMIFS('6300 and 6400'!G4:G39,'6300 and 6400'!$M$4:$M$39,'6300 and 6400'!$M$20,'6300 and 6400'!$N$4:$N$39,'6300 and 6400'!$N$19)</f>
        <v>51750</v>
      </c>
      <c r="I40" s="69">
        <f>SUMIFS('6300 and 6400'!H4:H39,'6300 and 6400'!$M$4:$M$39,'6300 and 6400'!$M$20,'6300 and 6400'!$N$4:$N$39,'6300 and 6400'!$N$19)</f>
        <v>56000</v>
      </c>
    </row>
    <row r="41" spans="1:9" x14ac:dyDescent="0.15">
      <c r="A41" s="78"/>
      <c r="B41" s="42" t="s">
        <v>180</v>
      </c>
      <c r="C41" s="68"/>
      <c r="D41" s="80"/>
      <c r="E41" s="69"/>
      <c r="F41" s="69"/>
      <c r="G41" s="69"/>
      <c r="H41" s="69"/>
      <c r="I41" s="69"/>
    </row>
    <row r="42" spans="1:9" x14ac:dyDescent="0.15">
      <c r="B42" t="s">
        <v>181</v>
      </c>
      <c r="C42" s="68"/>
      <c r="D42" s="80"/>
      <c r="E42" s="72">
        <v>0</v>
      </c>
      <c r="F42" s="72">
        <v>0</v>
      </c>
      <c r="G42" s="72">
        <v>0</v>
      </c>
      <c r="H42" s="72">
        <v>0</v>
      </c>
      <c r="I42" s="72">
        <v>0</v>
      </c>
    </row>
    <row r="43" spans="1:9" x14ac:dyDescent="0.15">
      <c r="A43" s="1">
        <v>2311</v>
      </c>
      <c r="B43" s="70" t="s">
        <v>232</v>
      </c>
      <c r="D43" s="180">
        <f t="shared" ref="D43:I43" si="4">SUM(D38:D42)</f>
        <v>12000</v>
      </c>
      <c r="E43" s="73">
        <f t="shared" si="4"/>
        <v>38500</v>
      </c>
      <c r="F43" s="73">
        <f t="shared" si="4"/>
        <v>42250</v>
      </c>
      <c r="G43" s="73">
        <f t="shared" si="4"/>
        <v>53000</v>
      </c>
      <c r="H43" s="73">
        <f t="shared" si="4"/>
        <v>57750</v>
      </c>
      <c r="I43" s="73">
        <f t="shared" si="4"/>
        <v>62500</v>
      </c>
    </row>
    <row r="44" spans="1:9" x14ac:dyDescent="0.15">
      <c r="A44" s="1"/>
      <c r="B44" s="70"/>
      <c r="D44" s="186"/>
      <c r="E44" s="73"/>
      <c r="F44" s="73"/>
      <c r="G44" s="73"/>
      <c r="H44" s="73"/>
      <c r="I44" s="73"/>
    </row>
    <row r="45" spans="1:9" x14ac:dyDescent="0.15">
      <c r="A45" s="1"/>
      <c r="B45" s="70"/>
      <c r="D45" s="186"/>
      <c r="E45" s="73"/>
      <c r="F45" s="73"/>
      <c r="G45" s="73"/>
      <c r="H45" s="73"/>
      <c r="I45" s="73"/>
    </row>
    <row r="46" spans="1:9" ht="14" x14ac:dyDescent="0.2">
      <c r="A46" s="275"/>
      <c r="B46" s="42" t="s">
        <v>177</v>
      </c>
      <c r="D46" s="186"/>
      <c r="E46" s="276">
        <f>'Staffing Wksht'!V9</f>
        <v>165000</v>
      </c>
      <c r="F46" s="276">
        <f>'Staffing Wksht'!Y9</f>
        <v>170000</v>
      </c>
      <c r="G46" s="276">
        <f>'Staffing Wksht'!AB9</f>
        <v>175000</v>
      </c>
      <c r="H46" s="276">
        <f>'Staffing Wksht'!AE9</f>
        <v>180000</v>
      </c>
      <c r="I46" s="276">
        <f>'Staffing Wksht'!AH9</f>
        <v>185000</v>
      </c>
    </row>
    <row r="47" spans="1:9" ht="14" x14ac:dyDescent="0.2">
      <c r="A47" s="275"/>
      <c r="B47" s="42" t="s">
        <v>178</v>
      </c>
      <c r="D47" s="186"/>
      <c r="E47" s="7">
        <f>ROUND(E46/2*0.145+E46/2*0.14+E46*0.0765+('benefit breakdown'!$B$8*'Staffing Wksht'!W9),0)</f>
        <v>41991</v>
      </c>
      <c r="F47" s="276">
        <f>F46*'benefit breakdown'!B6+('benefit breakdown'!$B$8*'Staffing Wksht'!$G$5)</f>
        <v>43510.999999999993</v>
      </c>
      <c r="G47" s="276">
        <f>G46*'benefit breakdown'!B6+('benefit breakdown'!$B$8*'Staffing Wksht'!$G$5)</f>
        <v>44618.499999999993</v>
      </c>
      <c r="H47" s="276">
        <f>H46*'benefit breakdown'!B6+('benefit breakdown'!$B$8*'Staffing Wksht'!$G$5)</f>
        <v>45725.999999999993</v>
      </c>
      <c r="I47" s="276">
        <f>I46*'benefit breakdown'!B6+('benefit breakdown'!$B$8*'Staffing Wksht'!$G$5)</f>
        <v>46833.499999999993</v>
      </c>
    </row>
    <row r="48" spans="1:9" ht="14" x14ac:dyDescent="0.2">
      <c r="A48" s="275"/>
      <c r="B48" s="42" t="s">
        <v>179</v>
      </c>
      <c r="D48" s="186"/>
      <c r="E48" s="276"/>
      <c r="F48" s="276"/>
      <c r="G48" s="276"/>
      <c r="H48" s="276"/>
      <c r="I48" s="276"/>
    </row>
    <row r="49" spans="1:9" ht="14" x14ac:dyDescent="0.2">
      <c r="A49" s="275"/>
      <c r="B49" s="42" t="s">
        <v>180</v>
      </c>
      <c r="D49" s="186"/>
      <c r="E49" s="276">
        <f>SUM('6300 and 6400'!D26)</f>
        <v>2000</v>
      </c>
      <c r="F49" s="276">
        <f>SUM('6300 and 6400'!E26)</f>
        <v>2000</v>
      </c>
      <c r="G49" s="276">
        <f>SUM('6300 and 6400'!F26)</f>
        <v>2000</v>
      </c>
      <c r="H49" s="276">
        <f>SUM('6300 and 6400'!G26)</f>
        <v>2000</v>
      </c>
      <c r="I49" s="276">
        <f>SUM('6300 and 6400'!H26)</f>
        <v>2000</v>
      </c>
    </row>
    <row r="50" spans="1:9" ht="14" x14ac:dyDescent="0.2">
      <c r="A50" s="275"/>
      <c r="B50" s="275" t="s">
        <v>181</v>
      </c>
      <c r="D50" s="186"/>
      <c r="E50" s="72">
        <v>0</v>
      </c>
      <c r="F50" s="72">
        <v>0</v>
      </c>
      <c r="G50" s="72">
        <v>0</v>
      </c>
      <c r="H50" s="72">
        <v>0</v>
      </c>
      <c r="I50" s="72">
        <v>0</v>
      </c>
    </row>
    <row r="51" spans="1:9" x14ac:dyDescent="0.15">
      <c r="A51" s="1">
        <v>2321</v>
      </c>
      <c r="B51" s="1" t="s">
        <v>347</v>
      </c>
      <c r="D51" s="186"/>
      <c r="E51" s="73">
        <f>SUM(E46:E50)</f>
        <v>208991</v>
      </c>
      <c r="F51" s="73">
        <f>SUM(F46:F50)</f>
        <v>215511</v>
      </c>
      <c r="G51" s="73">
        <f>SUM(G46:G50)</f>
        <v>221618.5</v>
      </c>
      <c r="H51" s="73">
        <f>SUM(H46:H50)</f>
        <v>227726</v>
      </c>
      <c r="I51" s="73">
        <f>SUM(I46:I50)</f>
        <v>233833.5</v>
      </c>
    </row>
    <row r="52" spans="1:9" x14ac:dyDescent="0.15">
      <c r="A52" s="1"/>
      <c r="B52" s="70"/>
      <c r="E52" s="73"/>
      <c r="F52" s="73"/>
      <c r="G52" s="73"/>
      <c r="H52" s="73"/>
      <c r="I52" s="73"/>
    </row>
    <row r="53" spans="1:9" x14ac:dyDescent="0.15">
      <c r="A53" s="1"/>
      <c r="B53" s="70"/>
      <c r="E53" s="73"/>
      <c r="F53" s="73"/>
      <c r="G53" s="73"/>
      <c r="H53" s="73"/>
      <c r="I53" s="73"/>
    </row>
    <row r="54" spans="1:9" x14ac:dyDescent="0.15">
      <c r="A54" s="78"/>
      <c r="B54" s="9" t="s">
        <v>177</v>
      </c>
      <c r="E54" s="67">
        <v>0</v>
      </c>
      <c r="F54" s="67">
        <v>0</v>
      </c>
      <c r="G54" s="67">
        <v>0</v>
      </c>
      <c r="H54" s="67">
        <v>0</v>
      </c>
      <c r="I54" s="67">
        <v>0</v>
      </c>
    </row>
    <row r="55" spans="1:9" x14ac:dyDescent="0.15">
      <c r="A55" s="78"/>
      <c r="B55" t="s">
        <v>178</v>
      </c>
      <c r="C55" s="68"/>
      <c r="D55" s="80"/>
      <c r="E55" s="67">
        <v>0</v>
      </c>
      <c r="F55" s="67">
        <v>0</v>
      </c>
      <c r="G55" s="67">
        <v>0</v>
      </c>
      <c r="H55" s="67">
        <v>0</v>
      </c>
      <c r="I55" s="67">
        <v>0</v>
      </c>
    </row>
    <row r="56" spans="1:9" x14ac:dyDescent="0.15">
      <c r="A56" s="78"/>
      <c r="B56" s="42" t="s">
        <v>179</v>
      </c>
      <c r="C56" s="68"/>
      <c r="D56" s="80">
        <v>10000</v>
      </c>
      <c r="E56" s="67">
        <f>'6300 and 6400'!D39</f>
        <v>5000</v>
      </c>
      <c r="F56" s="67">
        <f>'6300 and 6400'!E39</f>
        <v>5000</v>
      </c>
      <c r="G56" s="67">
        <f>'6300 and 6400'!F39</f>
        <v>52500</v>
      </c>
      <c r="H56" s="67">
        <f>'6300 and 6400'!G39</f>
        <v>63750</v>
      </c>
      <c r="I56" s="67">
        <f>'6300 and 6400'!H39</f>
        <v>67500</v>
      </c>
    </row>
    <row r="57" spans="1:9" x14ac:dyDescent="0.15">
      <c r="B57" s="42" t="s">
        <v>180</v>
      </c>
      <c r="C57" s="68"/>
      <c r="D57" s="80"/>
      <c r="E57" s="67">
        <v>0</v>
      </c>
      <c r="F57" s="69">
        <v>0</v>
      </c>
      <c r="G57" s="69">
        <v>0</v>
      </c>
      <c r="H57" s="69">
        <v>0</v>
      </c>
      <c r="I57" s="69">
        <v>0</v>
      </c>
    </row>
    <row r="58" spans="1:9" x14ac:dyDescent="0.15">
      <c r="B58" t="s">
        <v>181</v>
      </c>
      <c r="C58" s="68"/>
      <c r="D58" s="80"/>
      <c r="E58" s="72">
        <v>0</v>
      </c>
      <c r="F58" s="72">
        <v>0</v>
      </c>
      <c r="G58" s="72">
        <v>0</v>
      </c>
      <c r="H58" s="72">
        <v>0</v>
      </c>
      <c r="I58" s="72">
        <v>0</v>
      </c>
    </row>
    <row r="59" spans="1:9" x14ac:dyDescent="0.15">
      <c r="A59" s="1">
        <v>2331</v>
      </c>
      <c r="B59" s="70" t="s">
        <v>187</v>
      </c>
      <c r="D59" s="180">
        <f t="shared" ref="D59:I59" si="5">SUM(D54:D58)</f>
        <v>10000</v>
      </c>
      <c r="E59" s="73">
        <f t="shared" si="5"/>
        <v>5000</v>
      </c>
      <c r="F59" s="73">
        <f t="shared" si="5"/>
        <v>5000</v>
      </c>
      <c r="G59" s="73">
        <f t="shared" si="5"/>
        <v>52500</v>
      </c>
      <c r="H59" s="73">
        <f t="shared" si="5"/>
        <v>63750</v>
      </c>
      <c r="I59" s="73">
        <f t="shared" si="5"/>
        <v>67500</v>
      </c>
    </row>
    <row r="60" spans="1:9" x14ac:dyDescent="0.15">
      <c r="A60" s="1"/>
      <c r="B60" s="70"/>
      <c r="D60" s="186"/>
      <c r="E60" s="73"/>
      <c r="F60" s="73"/>
      <c r="G60" s="73"/>
      <c r="H60" s="73"/>
      <c r="I60" s="73"/>
    </row>
    <row r="61" spans="1:9" x14ac:dyDescent="0.15">
      <c r="A61" s="78"/>
      <c r="B61" s="9" t="s">
        <v>177</v>
      </c>
      <c r="E61" s="67">
        <f>'Staffing Wksht'!V10</f>
        <v>183600</v>
      </c>
      <c r="F61" s="67">
        <f>'Staffing Wksht'!Y10</f>
        <v>187272</v>
      </c>
      <c r="G61" s="67">
        <f>'Staffing Wksht'!AB10</f>
        <v>191017.44</v>
      </c>
      <c r="H61" s="67">
        <f>'Staffing Wksht'!AE10</f>
        <v>194837.78880000001</v>
      </c>
      <c r="I61" s="67">
        <f>'Staffing Wksht'!AH10</f>
        <v>198734.54457600001</v>
      </c>
    </row>
    <row r="62" spans="1:9" x14ac:dyDescent="0.15">
      <c r="A62" s="78"/>
      <c r="B62" t="s">
        <v>178</v>
      </c>
      <c r="C62" s="68"/>
      <c r="D62" s="80"/>
      <c r="E62" s="7">
        <f>ROUND(E61/2*0.145+E61/2*0.14+E61*0.0765+('benefit breakdown'!$B$8*'Staffing Wksht'!W10),0)</f>
        <v>51920</v>
      </c>
      <c r="F62" s="69">
        <f>F61*'benefit breakdown'!$B$6+('benefit breakdown'!$B$8*'Staffing Wksht'!$W$11)</f>
        <v>41480.747999999992</v>
      </c>
      <c r="G62" s="69">
        <f>G61*'benefit breakdown'!$B$6+('benefit breakdown'!$B$8*'Staffing Wksht'!$W$11)</f>
        <v>42310.362959999999</v>
      </c>
      <c r="H62" s="69">
        <f>H61*'benefit breakdown'!$B$6+('benefit breakdown'!$B$8*'Staffing Wksht'!$W$11)</f>
        <v>43156.570219199995</v>
      </c>
      <c r="I62" s="69">
        <f>I61*'benefit breakdown'!$B$6+('benefit breakdown'!$B$8*'Staffing Wksht'!$W$11)</f>
        <v>44019.701623583998</v>
      </c>
    </row>
    <row r="63" spans="1:9" x14ac:dyDescent="0.15">
      <c r="A63" s="78"/>
      <c r="B63" s="42" t="s">
        <v>179</v>
      </c>
      <c r="C63" s="68"/>
      <c r="D63" s="80">
        <v>60000</v>
      </c>
      <c r="E63" s="69">
        <f>'6300 and 6400'!D25</f>
        <v>1000</v>
      </c>
      <c r="F63" s="69">
        <f>'6300 and 6400'!E25</f>
        <v>1500</v>
      </c>
      <c r="G63" s="69">
        <f>'6300 and 6400'!F25</f>
        <v>2000</v>
      </c>
      <c r="H63" s="69">
        <f>'6300 and 6400'!G25</f>
        <v>2500</v>
      </c>
      <c r="I63" s="69">
        <f>'6300 and 6400'!H25</f>
        <v>3000</v>
      </c>
    </row>
    <row r="64" spans="1:9" x14ac:dyDescent="0.15">
      <c r="A64" s="78"/>
      <c r="B64" s="42" t="s">
        <v>180</v>
      </c>
      <c r="C64" s="68"/>
      <c r="D64" s="80"/>
      <c r="E64" s="69">
        <f>SUM('6300 and 6400'!D26)</f>
        <v>2000</v>
      </c>
      <c r="F64" s="69">
        <f>SUM('6300 and 6400'!E26)</f>
        <v>2000</v>
      </c>
      <c r="G64" s="69">
        <f>SUM('6300 and 6400'!F26)</f>
        <v>2000</v>
      </c>
      <c r="H64" s="69">
        <f>SUM('6300 and 6400'!G26)</f>
        <v>2000</v>
      </c>
      <c r="I64" s="69">
        <f>SUM('6300 and 6400'!H26)</f>
        <v>2000</v>
      </c>
    </row>
    <row r="65" spans="1:10" x14ac:dyDescent="0.15">
      <c r="B65" t="s">
        <v>181</v>
      </c>
      <c r="C65" s="68"/>
      <c r="D65" s="80"/>
      <c r="E65" s="72">
        <v>0</v>
      </c>
      <c r="F65" s="72">
        <v>0</v>
      </c>
      <c r="G65" s="72">
        <v>0</v>
      </c>
      <c r="H65" s="72">
        <v>0</v>
      </c>
      <c r="I65" s="72">
        <v>0</v>
      </c>
    </row>
    <row r="66" spans="1:10" x14ac:dyDescent="0.15">
      <c r="A66" s="1">
        <v>2400</v>
      </c>
      <c r="B66" s="70" t="s">
        <v>445</v>
      </c>
      <c r="D66" s="180">
        <f t="shared" ref="D66:I66" si="6">SUM(D61:D65)</f>
        <v>60000</v>
      </c>
      <c r="E66" s="73">
        <f t="shared" si="6"/>
        <v>238520</v>
      </c>
      <c r="F66" s="73">
        <f t="shared" si="6"/>
        <v>232252.74799999999</v>
      </c>
      <c r="G66" s="73">
        <f t="shared" si="6"/>
        <v>237327.80296</v>
      </c>
      <c r="H66" s="73">
        <f t="shared" si="6"/>
        <v>242494.3590192</v>
      </c>
      <c r="I66" s="73">
        <f t="shared" si="6"/>
        <v>247754.24619958401</v>
      </c>
    </row>
    <row r="67" spans="1:10" x14ac:dyDescent="0.15">
      <c r="B67" s="70"/>
      <c r="E67" s="74"/>
      <c r="F67" s="74"/>
      <c r="G67" s="74"/>
      <c r="H67" s="74"/>
      <c r="I67" s="74"/>
    </row>
    <row r="68" spans="1:10" x14ac:dyDescent="0.15">
      <c r="A68" s="79"/>
      <c r="E68" s="74"/>
      <c r="F68" s="74"/>
      <c r="G68" s="74"/>
      <c r="H68" s="74"/>
      <c r="I68" s="74"/>
    </row>
    <row r="69" spans="1:10" x14ac:dyDescent="0.15">
      <c r="A69" s="78"/>
      <c r="B69" s="9" t="s">
        <v>177</v>
      </c>
      <c r="E69" s="67"/>
      <c r="F69" s="67"/>
      <c r="G69" s="67"/>
      <c r="H69" s="67"/>
      <c r="I69" s="67"/>
    </row>
    <row r="70" spans="1:10" x14ac:dyDescent="0.15">
      <c r="A70" s="78"/>
      <c r="B70" t="s">
        <v>178</v>
      </c>
      <c r="C70" s="68"/>
      <c r="D70" s="80"/>
      <c r="E70" s="69"/>
      <c r="F70" s="69"/>
      <c r="G70" s="69"/>
      <c r="H70" s="69"/>
      <c r="I70" s="69"/>
    </row>
    <row r="71" spans="1:10" x14ac:dyDescent="0.15">
      <c r="A71" s="78"/>
      <c r="B71" s="42" t="s">
        <v>179</v>
      </c>
      <c r="C71" s="68"/>
      <c r="D71" s="80"/>
      <c r="E71" s="69">
        <f>SUMIFS('6300 and 6400'!D4:D40,'6300 and 6400'!$M$4:$M$40,'6300 and 6400'!$M$28,'6300 and 6400'!$N$4:$N$40,'6300 and 6400'!$N$28)</f>
        <v>59800</v>
      </c>
      <c r="F71" s="69">
        <f>SUMIFS('6300 and 6400'!E4:E60,'6300 and 6400'!$M$4:$M$60,'6300 and 6400'!$M$28,'6300 and 6400'!$N$4:$N$60,'6300 and 6400'!$N$28)</f>
        <v>59800</v>
      </c>
      <c r="G71" s="69">
        <f>SUMIFS('6300 and 6400'!F4:F40,'6300 and 6400'!$M$4:$M$40,'6300 and 6400'!$M$28,'6300 and 6400'!$N$4:$N$40,'6300 and 6400'!$N$28)</f>
        <v>62980</v>
      </c>
      <c r="H71" s="69">
        <f>SUMIFS('6300 and 6400'!G4:G40,'6300 and 6400'!$M$4:$M$40,'6300 and 6400'!$M$28,'6300 and 6400'!$N$4:$N$40,'6300 and 6400'!$N$28)</f>
        <v>63200</v>
      </c>
      <c r="I71" s="69">
        <f>SUMIFS('6300 and 6400'!H4:H40,'6300 and 6400'!$M$4:$M$40,'6300 and 6400'!$M$28,'6300 and 6400'!$N$4:$N$40,'6300 and 6400'!$N$28)</f>
        <v>63550</v>
      </c>
    </row>
    <row r="72" spans="1:10" x14ac:dyDescent="0.15">
      <c r="A72" s="78"/>
      <c r="B72" s="42" t="s">
        <v>180</v>
      </c>
      <c r="C72" s="68"/>
      <c r="D72" s="80"/>
      <c r="E72" s="69">
        <f>'6300 and 6400'!D32</f>
        <v>7000</v>
      </c>
      <c r="F72" s="69">
        <f>'6300 and 6400'!E32</f>
        <v>7000</v>
      </c>
      <c r="G72" s="69">
        <f>'6300 and 6400'!F32</f>
        <v>7000</v>
      </c>
      <c r="H72" s="69">
        <f>'6300 and 6400'!G32</f>
        <v>7000</v>
      </c>
      <c r="I72" s="69">
        <f>'6300 and 6400'!H32</f>
        <v>7000</v>
      </c>
    </row>
    <row r="73" spans="1:10" x14ac:dyDescent="0.15">
      <c r="A73" s="78"/>
      <c r="B73" t="s">
        <v>181</v>
      </c>
      <c r="C73" s="68"/>
      <c r="D73" s="80"/>
      <c r="E73" s="72">
        <v>0</v>
      </c>
      <c r="F73" s="72">
        <v>0</v>
      </c>
      <c r="G73" s="72">
        <v>0</v>
      </c>
      <c r="H73" s="72">
        <v>0</v>
      </c>
      <c r="I73" s="72">
        <v>0</v>
      </c>
    </row>
    <row r="74" spans="1:10" x14ac:dyDescent="0.15">
      <c r="A74" s="78">
        <v>2511</v>
      </c>
      <c r="B74" s="70" t="s">
        <v>183</v>
      </c>
      <c r="D74" s="180">
        <f t="shared" ref="D74:I74" si="7">SUM(D69:D73)</f>
        <v>0</v>
      </c>
      <c r="E74" s="73">
        <f t="shared" si="7"/>
        <v>66800</v>
      </c>
      <c r="F74" s="73">
        <f t="shared" si="7"/>
        <v>66800</v>
      </c>
      <c r="G74" s="73">
        <f t="shared" si="7"/>
        <v>69980</v>
      </c>
      <c r="H74" s="73">
        <f t="shared" si="7"/>
        <v>70200</v>
      </c>
      <c r="I74" s="73">
        <f t="shared" si="7"/>
        <v>70550</v>
      </c>
    </row>
    <row r="75" spans="1:10" x14ac:dyDescent="0.15">
      <c r="A75" s="78"/>
      <c r="B75" s="70"/>
      <c r="E75" s="73"/>
      <c r="F75" s="73"/>
      <c r="G75" s="73"/>
      <c r="H75" s="73"/>
      <c r="I75" s="73"/>
    </row>
    <row r="76" spans="1:10" x14ac:dyDescent="0.15">
      <c r="A76" s="79"/>
      <c r="E76" s="74"/>
      <c r="F76" s="74"/>
      <c r="G76" s="74"/>
      <c r="H76" s="74"/>
      <c r="I76" s="74"/>
    </row>
    <row r="77" spans="1:10" x14ac:dyDescent="0.15">
      <c r="A77" s="78"/>
      <c r="B77" s="9" t="s">
        <v>177</v>
      </c>
      <c r="E77" s="67">
        <f>'Staffing Wksht'!V12</f>
        <v>95000</v>
      </c>
      <c r="F77" s="67">
        <f>'Staffing Wksht'!Y12</f>
        <v>181087.46</v>
      </c>
      <c r="G77" s="67">
        <f>'Staffing Wksht'!AB12</f>
        <v>184709.20919999998</v>
      </c>
      <c r="H77" s="67">
        <f>'Staffing Wksht'!AE12</f>
        <v>188403.393384</v>
      </c>
      <c r="I77" s="67">
        <f>'Staffing Wksht'!AH12</f>
        <v>192171.46125168001</v>
      </c>
    </row>
    <row r="78" spans="1:10" x14ac:dyDescent="0.15">
      <c r="A78" s="78"/>
      <c r="B78" t="s">
        <v>178</v>
      </c>
      <c r="C78" s="68"/>
      <c r="D78" s="80"/>
      <c r="E78" s="7">
        <f>ROUND(E77/2*0.145+E77/2*0.14+E77*0.0765+('benefit breakdown'!$B$8*'Staffing Wksht'!W12),0)</f>
        <v>32517</v>
      </c>
      <c r="F78" s="69">
        <f>F77*'benefit breakdown'!$B$6+('benefit breakdown'!$B$8*'Staffing Wksht'!Z14)</f>
        <v>40110.872389999997</v>
      </c>
      <c r="G78" s="69">
        <f>G77*'benefit breakdown'!$B$6+('benefit breakdown'!$B$8*'Staffing Wksht'!AC14)</f>
        <v>40913.089837799991</v>
      </c>
      <c r="H78" s="69">
        <f>H77*'benefit breakdown'!$B$6+('benefit breakdown'!$B$8*'Staffing Wksht'!AF14)</f>
        <v>41731.351634555991</v>
      </c>
      <c r="I78" s="69">
        <f>I77*'benefit breakdown'!$B$6+('benefit breakdown'!$B$8*'Staffing Wksht'!AI14)</f>
        <v>42565.978667247116</v>
      </c>
    </row>
    <row r="79" spans="1:10" x14ac:dyDescent="0.15">
      <c r="A79" s="78"/>
      <c r="B79" s="42" t="s">
        <v>179</v>
      </c>
      <c r="C79" s="68"/>
      <c r="D79" s="80">
        <v>12000</v>
      </c>
      <c r="E79" s="69">
        <f>'Operation of Plant'!B15+'6300 and 6400'!D33</f>
        <v>305932.79999999999</v>
      </c>
      <c r="F79" s="69">
        <f>'Operation of Plant'!C15+'6300 and 6400'!E33</f>
        <v>305932.79999999999</v>
      </c>
      <c r="G79" s="69">
        <f>'Operation of Plant'!D15+'6300 and 6400'!F33</f>
        <v>635000</v>
      </c>
      <c r="H79" s="69">
        <f>'Operation of Plant'!E15+'6300 and 6400'!G33</f>
        <v>762500</v>
      </c>
      <c r="I79" s="69">
        <f>'Operation of Plant'!F15+'6300 and 6400'!H33</f>
        <v>805000</v>
      </c>
      <c r="J79" s="42"/>
    </row>
    <row r="80" spans="1:10" x14ac:dyDescent="0.15">
      <c r="A80" s="78"/>
      <c r="B80" s="42" t="s">
        <v>180</v>
      </c>
      <c r="C80" s="68"/>
      <c r="D80" s="80">
        <v>10000</v>
      </c>
      <c r="E80" s="69">
        <f>'6300 and 6400'!D35+'6300 and 6400'!D34</f>
        <v>18000</v>
      </c>
      <c r="F80" s="69">
        <f>'6300 and 6400'!E35+'6300 and 6400'!E34</f>
        <v>18000</v>
      </c>
      <c r="G80" s="69">
        <f>'6300 and 6400'!F35+'6300 and 6400'!F34</f>
        <v>3000</v>
      </c>
      <c r="H80" s="69">
        <f>'6300 and 6400'!G35+'6300 and 6400'!G34</f>
        <v>3000</v>
      </c>
      <c r="I80" s="69">
        <f>'6300 and 6400'!H35+'6300 and 6400'!H34</f>
        <v>3000</v>
      </c>
    </row>
    <row r="81" spans="1:10" x14ac:dyDescent="0.15">
      <c r="A81" s="78"/>
      <c r="B81" t="s">
        <v>181</v>
      </c>
      <c r="C81" s="68"/>
      <c r="D81" s="80">
        <v>24000</v>
      </c>
      <c r="E81" s="69">
        <f>SUMIFS('6300 and 6400'!D4:D40,'6300 and 6400'!$M$4:$M$40,'6300 and 6400'!#REF!,'6300 and 6400'!$N$4:$N$40,'6300 and 6400'!#REF!)</f>
        <v>0</v>
      </c>
      <c r="F81" s="69">
        <f>SUMIFS('6300 and 6400'!E4:E40,'6300 and 6400'!$M$4:$M$40,'6300 and 6400'!#REF!,'6300 and 6400'!$N$4:$N$40,'6300 and 6400'!#REF!)</f>
        <v>0</v>
      </c>
      <c r="G81" s="69">
        <f>SUMIFS('6300 and 6400'!F4:F40,'6300 and 6400'!$M$4:$M$40,'6300 and 6400'!#REF!,'6300 and 6400'!$N$4:$N$40,'6300 and 6400'!#REF!)</f>
        <v>0</v>
      </c>
      <c r="H81" s="69">
        <f>SUMIFS('6300 and 6400'!G4:G40,'6300 and 6400'!$M$4:$M$40,'6300 and 6400'!#REF!,'6300 and 6400'!$N$4:$N$40,'6300 and 6400'!#REF!)</f>
        <v>0</v>
      </c>
      <c r="I81" s="69">
        <f>SUMIFS('6300 and 6400'!H4:H40,'6300 and 6400'!$M$4:$M$40,'6300 and 6400'!#REF!,'6300 and 6400'!$N$4:$N$40,'6300 and 6400'!#REF!)</f>
        <v>0</v>
      </c>
    </row>
    <row r="82" spans="1:10" x14ac:dyDescent="0.15">
      <c r="A82" s="78"/>
      <c r="B82" t="s">
        <v>184</v>
      </c>
      <c r="C82" s="68"/>
      <c r="D82" s="80"/>
      <c r="E82" s="72"/>
      <c r="F82" s="72"/>
      <c r="G82" s="72"/>
      <c r="H82" s="72"/>
      <c r="I82" s="72"/>
    </row>
    <row r="83" spans="1:10" x14ac:dyDescent="0.15">
      <c r="A83" s="1">
        <v>2541</v>
      </c>
      <c r="B83" s="70" t="s">
        <v>185</v>
      </c>
      <c r="D83" s="180">
        <f t="shared" ref="D83:I83" si="8">SUM(D77:D82)</f>
        <v>46000</v>
      </c>
      <c r="E83" s="73">
        <f t="shared" si="8"/>
        <v>451449.8</v>
      </c>
      <c r="F83" s="73">
        <f t="shared" si="8"/>
        <v>545131.13238999993</v>
      </c>
      <c r="G83" s="73">
        <f t="shared" si="8"/>
        <v>863622.29903779994</v>
      </c>
      <c r="H83" s="73">
        <f t="shared" si="8"/>
        <v>995634.74501855602</v>
      </c>
      <c r="I83" s="73">
        <f t="shared" si="8"/>
        <v>1042737.4399189271</v>
      </c>
    </row>
    <row r="84" spans="1:10" x14ac:dyDescent="0.15">
      <c r="B84" s="70"/>
      <c r="E84" s="73"/>
      <c r="F84" s="73"/>
      <c r="G84" s="73"/>
      <c r="H84" s="73"/>
      <c r="I84" s="73"/>
    </row>
    <row r="85" spans="1:10" hidden="1" x14ac:dyDescent="0.15">
      <c r="B85" s="70"/>
      <c r="E85" s="74"/>
      <c r="F85" s="74"/>
      <c r="G85" s="74"/>
      <c r="H85" s="74"/>
      <c r="I85" s="74"/>
    </row>
    <row r="86" spans="1:10" hidden="1" x14ac:dyDescent="0.15">
      <c r="A86" s="78"/>
      <c r="B86" s="9" t="s">
        <v>177</v>
      </c>
      <c r="E86" s="67">
        <f>'Staffing Wksht'!V28</f>
        <v>0</v>
      </c>
      <c r="F86" s="67">
        <f>'Staffing Wksht'!Y28</f>
        <v>0</v>
      </c>
      <c r="G86" s="67">
        <f>'Staffing Wksht'!AB28</f>
        <v>0</v>
      </c>
      <c r="H86" s="67">
        <f>'Staffing Wksht'!AE28</f>
        <v>0</v>
      </c>
      <c r="I86" s="67">
        <f>'Staffing Wksht'!AH28</f>
        <v>0</v>
      </c>
    </row>
    <row r="87" spans="1:10" hidden="1" x14ac:dyDescent="0.15">
      <c r="A87" s="78"/>
      <c r="B87" t="s">
        <v>178</v>
      </c>
      <c r="C87" s="68"/>
      <c r="D87" s="80"/>
      <c r="E87" s="69">
        <f>E86*'benefit breakdown'!$B$6+('benefit breakdown'!$B$8*'Staffing Wksht'!W28)</f>
        <v>0</v>
      </c>
      <c r="F87" s="69">
        <f>F86*'benefit breakdown'!$B$6+('benefit breakdown'!$B$8*'Staffing Wksht'!Z28)</f>
        <v>0</v>
      </c>
      <c r="G87" s="69">
        <f>G86*'benefit breakdown'!$B$6+('benefit breakdown'!$B$8*'Staffing Wksht'!AC28)</f>
        <v>0</v>
      </c>
      <c r="H87" s="69">
        <f>H86*'benefit breakdown'!$B$6+('benefit breakdown'!$B$8*'Staffing Wksht'!AF28)</f>
        <v>0</v>
      </c>
      <c r="I87" s="69">
        <f>I86*'benefit breakdown'!$B$6+('benefit breakdown'!$B$8*'Staffing Wksht'!AI28)</f>
        <v>0</v>
      </c>
    </row>
    <row r="88" spans="1:10" hidden="1" x14ac:dyDescent="0.15">
      <c r="A88" s="78"/>
      <c r="B88" s="42" t="s">
        <v>179</v>
      </c>
      <c r="C88" s="68"/>
      <c r="D88" s="80">
        <v>12000</v>
      </c>
      <c r="E88" s="69">
        <v>0</v>
      </c>
      <c r="F88" s="69">
        <v>0</v>
      </c>
      <c r="G88" s="69">
        <v>0</v>
      </c>
      <c r="H88" s="69">
        <v>0</v>
      </c>
      <c r="I88" s="69">
        <v>0</v>
      </c>
      <c r="J88" s="42"/>
    </row>
    <row r="89" spans="1:10" hidden="1" x14ac:dyDescent="0.15">
      <c r="A89" s="78"/>
      <c r="B89" s="42" t="s">
        <v>180</v>
      </c>
      <c r="C89" s="68"/>
      <c r="D89" s="80">
        <v>10000</v>
      </c>
      <c r="E89" s="69">
        <f>'6300 and 6400'!D44</f>
        <v>0</v>
      </c>
      <c r="F89" s="69">
        <f>'6300 and 6400'!E44</f>
        <v>0</v>
      </c>
      <c r="G89" s="69">
        <f>'6300 and 6400'!F44</f>
        <v>0</v>
      </c>
      <c r="H89" s="69">
        <f>'6300 and 6400'!G44</f>
        <v>0</v>
      </c>
      <c r="I89" s="69">
        <f>'6300 and 6400'!H44</f>
        <v>0</v>
      </c>
    </row>
    <row r="90" spans="1:10" hidden="1" x14ac:dyDescent="0.15">
      <c r="A90" s="78"/>
      <c r="B90" t="s">
        <v>181</v>
      </c>
      <c r="C90" s="68"/>
      <c r="D90" s="80">
        <v>24000</v>
      </c>
      <c r="E90" s="69">
        <f>SUMIFS('6300 and 6400'!D13:D49,'6300 and 6400'!$M$4:$M$40,'6300 and 6400'!#REF!,'6300 and 6400'!$N$4:$N$40,'6300 and 6400'!#REF!)</f>
        <v>0</v>
      </c>
      <c r="F90" s="69">
        <f>SUMIFS('6300 and 6400'!E13:E49,'6300 and 6400'!$M$4:$M$40,'6300 and 6400'!#REF!,'6300 and 6400'!$N$4:$N$40,'6300 and 6400'!#REF!)</f>
        <v>0</v>
      </c>
      <c r="G90" s="69">
        <f>SUMIFS('6300 and 6400'!F13:F49,'6300 and 6400'!$M$4:$M$40,'6300 and 6400'!#REF!,'6300 and 6400'!$N$4:$N$40,'6300 and 6400'!#REF!)</f>
        <v>0</v>
      </c>
      <c r="H90" s="69">
        <f>SUMIFS('6300 and 6400'!G13:G49,'6300 and 6400'!$M$4:$M$40,'6300 and 6400'!#REF!,'6300 and 6400'!$N$4:$N$40,'6300 and 6400'!#REF!)</f>
        <v>0</v>
      </c>
      <c r="I90" s="69">
        <f>SUMIFS('6300 and 6400'!H13:H49,'6300 and 6400'!$M$4:$M$40,'6300 and 6400'!#REF!,'6300 and 6400'!$N$4:$N$40,'6300 and 6400'!#REF!)</f>
        <v>0</v>
      </c>
    </row>
    <row r="91" spans="1:10" hidden="1" x14ac:dyDescent="0.15">
      <c r="A91" s="78"/>
      <c r="B91" t="s">
        <v>184</v>
      </c>
      <c r="C91" s="68"/>
      <c r="D91" s="80"/>
      <c r="E91" s="72"/>
      <c r="F91" s="72"/>
      <c r="G91" s="72"/>
      <c r="H91" s="72"/>
      <c r="I91" s="72"/>
    </row>
    <row r="92" spans="1:10" hidden="1" x14ac:dyDescent="0.15">
      <c r="A92" s="1">
        <v>2551</v>
      </c>
      <c r="B92" s="70" t="s">
        <v>328</v>
      </c>
      <c r="D92" s="180">
        <f t="shared" ref="D92:I92" si="9">SUM(D86:D91)</f>
        <v>46000</v>
      </c>
      <c r="E92" s="73">
        <f t="shared" si="9"/>
        <v>0</v>
      </c>
      <c r="F92" s="73">
        <f t="shared" si="9"/>
        <v>0</v>
      </c>
      <c r="G92" s="73">
        <f t="shared" si="9"/>
        <v>0</v>
      </c>
      <c r="H92" s="73">
        <f t="shared" si="9"/>
        <v>0</v>
      </c>
      <c r="I92" s="73">
        <f t="shared" si="9"/>
        <v>0</v>
      </c>
    </row>
    <row r="93" spans="1:10" x14ac:dyDescent="0.15">
      <c r="A93" s="1"/>
      <c r="B93" s="70"/>
      <c r="D93" s="186"/>
      <c r="E93" s="73"/>
      <c r="F93" s="73"/>
      <c r="G93" s="73"/>
      <c r="H93" s="73"/>
      <c r="I93" s="73"/>
    </row>
    <row r="94" spans="1:10" x14ac:dyDescent="0.15">
      <c r="A94" s="78"/>
      <c r="B94" s="9" t="s">
        <v>177</v>
      </c>
      <c r="E94" s="69">
        <f>'Staffing Wksht'!V15</f>
        <v>0</v>
      </c>
      <c r="F94" s="69">
        <f>'Staffing Wksht'!Y15</f>
        <v>0</v>
      </c>
      <c r="G94" s="69">
        <f>'Staffing Wksht'!AB15</f>
        <v>0</v>
      </c>
      <c r="H94" s="69">
        <f>'Staffing Wksht'!AE15</f>
        <v>0</v>
      </c>
      <c r="I94" s="69">
        <f>'Staffing Wksht'!AH15</f>
        <v>0</v>
      </c>
    </row>
    <row r="95" spans="1:10" x14ac:dyDescent="0.15">
      <c r="A95" s="78"/>
      <c r="B95" s="42" t="s">
        <v>178</v>
      </c>
      <c r="C95" s="68"/>
      <c r="D95" s="80"/>
      <c r="E95" s="69">
        <f>+E94*0.25</f>
        <v>0</v>
      </c>
      <c r="F95" s="69">
        <f>+F94*0.25</f>
        <v>0</v>
      </c>
      <c r="G95" s="69">
        <f>+G94*0.25</f>
        <v>0</v>
      </c>
      <c r="H95" s="69">
        <f>+H94*0.25</f>
        <v>0</v>
      </c>
      <c r="I95" s="69">
        <f>+I94*0.25</f>
        <v>0</v>
      </c>
    </row>
    <row r="96" spans="1:10" x14ac:dyDescent="0.15">
      <c r="A96" s="78"/>
      <c r="B96" s="42" t="s">
        <v>179</v>
      </c>
      <c r="C96" s="68"/>
      <c r="D96" s="80"/>
      <c r="E96" s="69"/>
      <c r="F96" s="69"/>
      <c r="G96" s="69"/>
      <c r="H96" s="69"/>
      <c r="I96" s="69"/>
      <c r="J96" s="77"/>
    </row>
    <row r="97" spans="1:9" x14ac:dyDescent="0.15">
      <c r="B97" s="42" t="s">
        <v>180</v>
      </c>
      <c r="C97" s="68"/>
      <c r="D97" s="80"/>
      <c r="E97" s="69">
        <f>'6300 and 6400'!D36</f>
        <v>185535</v>
      </c>
      <c r="F97" s="69">
        <f>'6300 and 6400'!E36</f>
        <v>222502.5</v>
      </c>
      <c r="G97" s="69">
        <f>'6300 and 6400'!F36</f>
        <v>283185</v>
      </c>
      <c r="H97" s="69">
        <f>'6300 and 6400'!G36</f>
        <v>343867.5</v>
      </c>
      <c r="I97" s="69">
        <f>'6300 and 6400'!H36</f>
        <v>364095</v>
      </c>
    </row>
    <row r="98" spans="1:9" x14ac:dyDescent="0.15">
      <c r="B98" t="s">
        <v>181</v>
      </c>
      <c r="C98" s="68"/>
      <c r="D98" s="80"/>
      <c r="E98" s="72">
        <v>0</v>
      </c>
      <c r="F98" s="72">
        <v>0</v>
      </c>
      <c r="G98" s="72">
        <v>0</v>
      </c>
      <c r="H98" s="72">
        <v>0</v>
      </c>
      <c r="I98" s="72">
        <v>0</v>
      </c>
    </row>
    <row r="99" spans="1:9" x14ac:dyDescent="0.15">
      <c r="A99" s="1">
        <v>2563</v>
      </c>
      <c r="B99" s="70" t="s">
        <v>186</v>
      </c>
      <c r="D99" s="180"/>
      <c r="E99" s="73">
        <f>SUM(E94:E98)</f>
        <v>185535</v>
      </c>
      <c r="F99" s="73">
        <f>SUM(F94:F98)</f>
        <v>222502.5</v>
      </c>
      <c r="G99" s="73">
        <f>SUM(G94:G98)</f>
        <v>283185</v>
      </c>
      <c r="H99" s="73">
        <f>SUM(H94:H98)</f>
        <v>343867.5</v>
      </c>
      <c r="I99" s="73">
        <f>SUM(I94:I98)</f>
        <v>364095</v>
      </c>
    </row>
    <row r="100" spans="1:9" x14ac:dyDescent="0.15">
      <c r="B100" s="70"/>
      <c r="E100" s="74"/>
      <c r="F100" s="74"/>
      <c r="G100" s="74"/>
      <c r="H100" s="74"/>
      <c r="I100" s="74"/>
    </row>
    <row r="101" spans="1:9" x14ac:dyDescent="0.15">
      <c r="A101" s="79"/>
      <c r="E101" s="74"/>
      <c r="F101" s="74"/>
      <c r="G101" s="74"/>
      <c r="H101" s="74"/>
      <c r="I101" s="74"/>
    </row>
    <row r="102" spans="1:9" x14ac:dyDescent="0.15">
      <c r="A102" s="78"/>
      <c r="B102" s="9" t="s">
        <v>177</v>
      </c>
      <c r="E102" s="67"/>
      <c r="F102" s="67"/>
      <c r="G102" s="67"/>
      <c r="H102" s="67"/>
      <c r="I102" s="67"/>
    </row>
    <row r="103" spans="1:9" x14ac:dyDescent="0.15">
      <c r="A103" s="78"/>
      <c r="B103" t="s">
        <v>178</v>
      </c>
      <c r="C103" s="68"/>
      <c r="D103" s="80"/>
      <c r="E103" s="69">
        <v>0</v>
      </c>
      <c r="F103" s="69">
        <v>0</v>
      </c>
      <c r="G103" s="69"/>
      <c r="H103" s="69"/>
      <c r="I103" s="69"/>
    </row>
    <row r="104" spans="1:9" x14ac:dyDescent="0.15">
      <c r="A104" s="78"/>
      <c r="B104" s="42" t="s">
        <v>179</v>
      </c>
      <c r="C104" s="68"/>
      <c r="D104" s="80">
        <v>5000</v>
      </c>
      <c r="E104" s="69">
        <f>'6300 and 6400'!D38+'6300 and 6400'!D37</f>
        <v>6000</v>
      </c>
      <c r="F104" s="69">
        <f>'6300 and 6400'!E38+'6300 and 6400'!E37</f>
        <v>5000</v>
      </c>
      <c r="G104" s="69">
        <f>'6300 and 6400'!F38+'6300 and 6400'!F37</f>
        <v>5000</v>
      </c>
      <c r="H104" s="69">
        <f>'6300 and 6400'!G38+'6300 and 6400'!G37</f>
        <v>5000</v>
      </c>
      <c r="I104" s="69">
        <f>'6300 and 6400'!H38+'6300 and 6400'!H37</f>
        <v>5000</v>
      </c>
    </row>
    <row r="105" spans="1:9" x14ac:dyDescent="0.15">
      <c r="B105" s="42" t="s">
        <v>180</v>
      </c>
      <c r="C105" s="68"/>
      <c r="D105" s="80"/>
      <c r="E105" s="69">
        <v>0</v>
      </c>
      <c r="F105" s="69">
        <v>0</v>
      </c>
      <c r="G105" s="69">
        <v>0</v>
      </c>
      <c r="H105" s="69">
        <v>0</v>
      </c>
      <c r="I105" s="69">
        <v>0</v>
      </c>
    </row>
    <row r="106" spans="1:9" x14ac:dyDescent="0.15">
      <c r="B106" t="s">
        <v>181</v>
      </c>
      <c r="C106" s="68"/>
      <c r="D106" s="80"/>
      <c r="E106" s="72"/>
      <c r="F106" s="72"/>
      <c r="G106" s="72"/>
      <c r="H106" s="72"/>
      <c r="I106" s="72"/>
    </row>
    <row r="107" spans="1:9" x14ac:dyDescent="0.15">
      <c r="A107" s="1">
        <v>2600</v>
      </c>
      <c r="B107" s="70" t="s">
        <v>446</v>
      </c>
      <c r="D107" s="180">
        <f t="shared" ref="D107:I107" si="10">SUM(D102:D106)</f>
        <v>5000</v>
      </c>
      <c r="E107" s="73">
        <f t="shared" si="10"/>
        <v>6000</v>
      </c>
      <c r="F107" s="73">
        <f t="shared" si="10"/>
        <v>5000</v>
      </c>
      <c r="G107" s="73">
        <f t="shared" si="10"/>
        <v>5000</v>
      </c>
      <c r="H107" s="73">
        <f t="shared" si="10"/>
        <v>5000</v>
      </c>
      <c r="I107" s="73">
        <f t="shared" si="10"/>
        <v>5000</v>
      </c>
    </row>
    <row r="108" spans="1:9" x14ac:dyDescent="0.15">
      <c r="A108" s="1"/>
      <c r="B108" s="70"/>
      <c r="E108" s="73"/>
      <c r="F108" s="73"/>
      <c r="G108" s="73"/>
      <c r="H108" s="73"/>
      <c r="I108" s="73"/>
    </row>
    <row r="109" spans="1:9" x14ac:dyDescent="0.15">
      <c r="A109" s="1"/>
      <c r="B109" s="70"/>
      <c r="E109" s="73"/>
      <c r="F109" s="73"/>
      <c r="G109" s="73"/>
      <c r="H109" s="73"/>
      <c r="I109" s="73"/>
    </row>
    <row r="110" spans="1:9" x14ac:dyDescent="0.15">
      <c r="B110" s="70"/>
      <c r="E110" s="73"/>
      <c r="F110" s="73"/>
      <c r="G110" s="73"/>
      <c r="H110" s="73"/>
      <c r="I110" s="73"/>
    </row>
    <row r="111" spans="1:9" hidden="1" x14ac:dyDescent="0.15">
      <c r="A111" s="78"/>
      <c r="B111" s="9" t="s">
        <v>177</v>
      </c>
      <c r="E111" s="74">
        <f>'Staffing Wksht'!V18</f>
        <v>1869673.3800000001</v>
      </c>
      <c r="F111" s="74">
        <f>'Staffing Wksht'!Y18</f>
        <v>2211754.3076000004</v>
      </c>
      <c r="G111" s="74">
        <f>'Staffing Wksht'!AB18</f>
        <v>2602702.0579359997</v>
      </c>
      <c r="H111" s="74">
        <f>'Staffing Wksht'!AE18</f>
        <v>3096045.1046947199</v>
      </c>
      <c r="I111" s="74">
        <f>'Staffing Wksht'!AH18</f>
        <v>3284839.7308311993</v>
      </c>
    </row>
    <row r="112" spans="1:9" hidden="1" x14ac:dyDescent="0.15">
      <c r="A112" s="79"/>
      <c r="B112" t="s">
        <v>178</v>
      </c>
      <c r="E112" s="69">
        <f>E111*'benefit breakdown'!$B$6+('benefit breakdown'!$B$8*'Staffing Wksht'!W18)</f>
        <v>619092.65366999991</v>
      </c>
      <c r="F112" s="69">
        <f>F111*'benefit breakdown'!$B$6+('benefit breakdown'!$B$8*'Staffing Wksht'!Z18)</f>
        <v>753423.5791334</v>
      </c>
      <c r="G112" s="69">
        <f>G111*'benefit breakdown'!$B$6+('benefit breakdown'!$B$8*'Staffing Wksht'!AC18)</f>
        <v>886866.50583282392</v>
      </c>
      <c r="H112" s="69">
        <f>H111*'benefit breakdown'!$B$6+('benefit breakdown'!$B$8*'Staffing Wksht'!AF18)</f>
        <v>1054701.9906898802</v>
      </c>
      <c r="I112" s="192">
        <f>I111*'benefit breakdown'!$B$6+('benefit breakdown'!$B$8*'Staffing Wksht'!AI18)</f>
        <v>1119944.0003791107</v>
      </c>
    </row>
    <row r="113" spans="1:9" hidden="1" x14ac:dyDescent="0.15">
      <c r="A113" s="79"/>
      <c r="B113" s="42" t="s">
        <v>179</v>
      </c>
      <c r="E113" s="74"/>
      <c r="F113" s="74"/>
      <c r="G113" s="74"/>
      <c r="H113" s="74"/>
      <c r="I113" s="74"/>
    </row>
    <row r="114" spans="1:9" hidden="1" x14ac:dyDescent="0.15">
      <c r="A114" s="79"/>
      <c r="B114" s="42" t="s">
        <v>180</v>
      </c>
      <c r="E114" s="74"/>
      <c r="F114" s="74"/>
      <c r="G114" s="74"/>
      <c r="H114" s="74"/>
      <c r="I114" s="74"/>
    </row>
    <row r="115" spans="1:9" hidden="1" x14ac:dyDescent="0.15">
      <c r="A115" s="79"/>
      <c r="B115" t="s">
        <v>181</v>
      </c>
      <c r="E115" s="81"/>
      <c r="F115" s="81"/>
      <c r="G115" s="81"/>
      <c r="H115" s="81"/>
      <c r="I115" s="81"/>
    </row>
    <row r="116" spans="1:9" hidden="1" x14ac:dyDescent="0.15">
      <c r="A116" s="79">
        <v>3812</v>
      </c>
      <c r="B116" s="70" t="s">
        <v>279</v>
      </c>
      <c r="E116" s="73">
        <f>SUM(E111:E115)</f>
        <v>2488766.0336699998</v>
      </c>
      <c r="F116" s="73">
        <f>SUM(F111:F115)</f>
        <v>2965177.8867334006</v>
      </c>
      <c r="G116" s="73">
        <f>SUM(G111:G115)</f>
        <v>3489568.5637688236</v>
      </c>
      <c r="H116" s="73">
        <f>SUM(H111:H115)</f>
        <v>4150747.0953846001</v>
      </c>
      <c r="I116" s="73">
        <f>SUM(I111:I115)</f>
        <v>4404783.73121031</v>
      </c>
    </row>
    <row r="117" spans="1:9" x14ac:dyDescent="0.15">
      <c r="A117" s="79"/>
      <c r="B117" s="70"/>
      <c r="E117" s="74"/>
      <c r="F117" s="74"/>
      <c r="G117" s="74"/>
      <c r="H117" s="74"/>
      <c r="I117" s="74"/>
    </row>
    <row r="118" spans="1:9" x14ac:dyDescent="0.15">
      <c r="A118" s="1"/>
      <c r="B118" s="63" t="s">
        <v>82</v>
      </c>
      <c r="D118" s="82" t="e">
        <f>SUM(D11,D19,D27,D35, D43,D66,D74,D83,#REF!,#REF!,D99,D107,#REF!,#REF!)</f>
        <v>#REF!</v>
      </c>
      <c r="E118" s="82">
        <f>SUM(E11,E19,E27,E35, E43,E51, E59,E66,E74,E83,E92,E99,E107,)</f>
        <v>3259659.1799999997</v>
      </c>
      <c r="F118" s="82">
        <f>SUM(F11,F19,F27,F35, F43,F51, F59,F66,F74,F83,F92,F99,F107,)</f>
        <v>3796752.1867334</v>
      </c>
      <c r="G118" s="82">
        <f>SUM(G11,G19,G27,G35, G43,G51, G59,G66,G74,G83,G92,G99,G107,)</f>
        <v>4799947.5637688236</v>
      </c>
      <c r="H118" s="82">
        <f>SUM(H11,H19,H27,H35, H43,H51, H59,H66,H74,H83,H92,H99,H107,)</f>
        <v>5739403.5953845996</v>
      </c>
      <c r="I118" s="82">
        <f>SUM(I11,I19,I27,I35, I43,I51, I59,I66,I74,I83,I92,I99,I107,)</f>
        <v>6080142.7312103091</v>
      </c>
    </row>
    <row r="119" spans="1:9" x14ac:dyDescent="0.15">
      <c r="F119" s="8"/>
    </row>
    <row r="120" spans="1:9" x14ac:dyDescent="0.15">
      <c r="F120" s="8"/>
    </row>
    <row r="122" spans="1:9" x14ac:dyDescent="0.15">
      <c r="E122" s="74"/>
    </row>
    <row r="123" spans="1:9" x14ac:dyDescent="0.15">
      <c r="E123" s="74"/>
      <c r="F123" s="74"/>
      <c r="G123" s="74"/>
      <c r="H123" s="74"/>
      <c r="I123" s="74"/>
    </row>
    <row r="124" spans="1:9" x14ac:dyDescent="0.15">
      <c r="E124" s="74"/>
      <c r="F124" s="74"/>
    </row>
    <row r="125" spans="1:9" x14ac:dyDescent="0.15">
      <c r="E125" s="74"/>
    </row>
    <row r="126" spans="1:9" x14ac:dyDescent="0.15">
      <c r="E126" s="74"/>
    </row>
    <row r="127" spans="1:9" x14ac:dyDescent="0.15">
      <c r="E127" s="74"/>
    </row>
  </sheetData>
  <mergeCells count="1">
    <mergeCell ref="B1:K1"/>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16"/>
  <sheetViews>
    <sheetView zoomScale="120" zoomScaleNormal="120" workbookViewId="0">
      <selection activeCell="E23" sqref="E23"/>
    </sheetView>
  </sheetViews>
  <sheetFormatPr baseColWidth="10" defaultColWidth="8.83203125" defaultRowHeight="13" x14ac:dyDescent="0.15"/>
  <cols>
    <col min="1" max="1" width="75.33203125" bestFit="1" customWidth="1"/>
    <col min="2" max="2" width="11.33203125" bestFit="1" customWidth="1"/>
    <col min="3" max="6" width="9.33203125" bestFit="1" customWidth="1"/>
  </cols>
  <sheetData>
    <row r="1" spans="1:10" ht="14" thickTop="1" x14ac:dyDescent="0.15">
      <c r="A1" s="407" t="s">
        <v>413</v>
      </c>
      <c r="B1" s="408"/>
      <c r="C1" s="408"/>
      <c r="D1" s="408"/>
      <c r="E1" s="408"/>
      <c r="F1" s="409"/>
    </row>
    <row r="2" spans="1:10" ht="14" thickBot="1" x14ac:dyDescent="0.2">
      <c r="A2" s="410"/>
      <c r="B2" s="411"/>
      <c r="C2" s="411"/>
      <c r="D2" s="411"/>
      <c r="E2" s="411"/>
      <c r="F2" s="412"/>
      <c r="H2" s="32"/>
      <c r="I2" s="32"/>
      <c r="J2" s="32"/>
    </row>
    <row r="3" spans="1:10" ht="15" thickTop="1" thickBot="1" x14ac:dyDescent="0.2">
      <c r="A3" s="207"/>
      <c r="B3" s="363" t="s">
        <v>388</v>
      </c>
      <c r="C3" s="363" t="s">
        <v>389</v>
      </c>
      <c r="D3" s="363" t="s">
        <v>390</v>
      </c>
      <c r="E3" s="363" t="s">
        <v>391</v>
      </c>
      <c r="F3" s="364" t="s">
        <v>392</v>
      </c>
      <c r="H3" s="32" t="s">
        <v>379</v>
      </c>
      <c r="I3" s="32" t="s">
        <v>274</v>
      </c>
      <c r="J3" s="32" t="s">
        <v>367</v>
      </c>
    </row>
    <row r="4" spans="1:10" ht="14" thickBot="1" x14ac:dyDescent="0.2">
      <c r="A4" s="286" t="s">
        <v>382</v>
      </c>
      <c r="B4" s="268">
        <v>27399</v>
      </c>
      <c r="C4" s="268">
        <v>27399</v>
      </c>
      <c r="D4" s="268"/>
      <c r="E4" s="266"/>
      <c r="F4" s="267"/>
      <c r="H4" s="32">
        <v>112</v>
      </c>
      <c r="I4" s="32">
        <v>2542</v>
      </c>
      <c r="J4" s="32">
        <v>6333</v>
      </c>
    </row>
    <row r="5" spans="1:10" ht="14" thickBot="1" x14ac:dyDescent="0.2">
      <c r="A5" s="286" t="s">
        <v>414</v>
      </c>
      <c r="B5" s="365">
        <v>256141.8</v>
      </c>
      <c r="C5" s="365">
        <v>256141.8</v>
      </c>
      <c r="D5" s="268"/>
      <c r="E5" s="266"/>
      <c r="F5" s="267"/>
      <c r="H5" s="32">
        <v>412</v>
      </c>
      <c r="I5" s="32">
        <v>1641</v>
      </c>
      <c r="J5" s="32">
        <v>6614</v>
      </c>
    </row>
    <row r="6" spans="1:10" ht="14" thickBot="1" x14ac:dyDescent="0.2">
      <c r="A6" s="286" t="s">
        <v>441</v>
      </c>
      <c r="B6" s="365">
        <v>3000</v>
      </c>
      <c r="C6" s="365">
        <v>3000</v>
      </c>
      <c r="D6" s="268"/>
      <c r="E6" s="266"/>
      <c r="F6" s="267"/>
      <c r="H6" s="32"/>
      <c r="I6" s="32"/>
      <c r="J6" s="32"/>
    </row>
    <row r="7" spans="1:10" ht="14" thickBot="1" x14ac:dyDescent="0.2">
      <c r="A7" s="265"/>
      <c r="B7" s="266"/>
      <c r="C7" s="266"/>
      <c r="D7" s="266"/>
      <c r="E7" s="266"/>
      <c r="F7" s="267"/>
    </row>
    <row r="8" spans="1:10" ht="14" thickBot="1" x14ac:dyDescent="0.2">
      <c r="A8" s="286" t="s">
        <v>141</v>
      </c>
      <c r="B8" s="366">
        <v>200</v>
      </c>
      <c r="C8" s="366">
        <v>275</v>
      </c>
      <c r="D8" s="366">
        <v>350</v>
      </c>
      <c r="E8" s="366">
        <v>425</v>
      </c>
      <c r="F8" s="367">
        <v>450</v>
      </c>
    </row>
    <row r="9" spans="1:10" ht="14" thickBot="1" x14ac:dyDescent="0.2">
      <c r="A9" s="287" t="s">
        <v>415</v>
      </c>
      <c r="B9" s="209"/>
      <c r="C9" s="209"/>
      <c r="D9" s="209">
        <f>D8*100</f>
        <v>35000</v>
      </c>
      <c r="E9" s="209">
        <f t="shared" ref="E9:F9" si="0">E8*100</f>
        <v>42500</v>
      </c>
      <c r="F9" s="209">
        <f t="shared" si="0"/>
        <v>45000</v>
      </c>
    </row>
    <row r="10" spans="1:10" ht="14" thickBot="1" x14ac:dyDescent="0.2">
      <c r="A10" s="287" t="s">
        <v>417</v>
      </c>
      <c r="B10" s="209"/>
      <c r="C10" s="209"/>
      <c r="D10" s="209">
        <f>7*D9</f>
        <v>245000</v>
      </c>
      <c r="E10" s="209">
        <f>7*E9</f>
        <v>297500</v>
      </c>
      <c r="F10" s="210">
        <f>7*F9</f>
        <v>315000</v>
      </c>
    </row>
    <row r="11" spans="1:10" ht="14" thickBot="1" x14ac:dyDescent="0.2">
      <c r="A11" s="287" t="s">
        <v>416</v>
      </c>
      <c r="B11" s="209"/>
      <c r="C11" s="209"/>
      <c r="D11" s="209">
        <f>10*D9</f>
        <v>350000</v>
      </c>
      <c r="E11" s="209">
        <f>10*E9</f>
        <v>425000</v>
      </c>
      <c r="F11" s="209">
        <f>10*F9</f>
        <v>450000</v>
      </c>
    </row>
    <row r="12" spans="1:10" ht="14" thickBot="1" x14ac:dyDescent="0.2">
      <c r="A12" s="208"/>
      <c r="B12" s="209"/>
      <c r="C12" s="209"/>
      <c r="D12" s="209"/>
      <c r="E12" s="209"/>
      <c r="F12" s="210"/>
    </row>
    <row r="13" spans="1:10" ht="14" thickBot="1" x14ac:dyDescent="0.2">
      <c r="A13" s="208"/>
      <c r="B13" s="209"/>
      <c r="C13" s="209"/>
      <c r="D13" s="209"/>
      <c r="E13" s="209"/>
      <c r="F13" s="210"/>
    </row>
    <row r="14" spans="1:10" ht="14" thickBot="1" x14ac:dyDescent="0.2">
      <c r="A14" s="211"/>
      <c r="B14" s="209"/>
      <c r="C14" s="209"/>
      <c r="D14" s="209"/>
      <c r="E14" s="209"/>
      <c r="F14" s="210"/>
    </row>
    <row r="15" spans="1:10" ht="14" thickBot="1" x14ac:dyDescent="0.2">
      <c r="A15" s="212" t="s">
        <v>299</v>
      </c>
      <c r="B15" s="258">
        <f>SUM(B4,B5,B6)</f>
        <v>286540.79999999999</v>
      </c>
      <c r="C15" s="258">
        <f>SUM(C4,C5,C6)</f>
        <v>286540.79999999999</v>
      </c>
      <c r="D15" s="258">
        <f>SUM(D10,D11)</f>
        <v>595000</v>
      </c>
      <c r="E15" s="258">
        <f>SUM(E10,E11)</f>
        <v>722500</v>
      </c>
      <c r="F15" s="258">
        <f>SUM(F10,F11)</f>
        <v>765000</v>
      </c>
    </row>
    <row r="16" spans="1:10" ht="14" thickTop="1" x14ac:dyDescent="0.15"/>
  </sheetData>
  <mergeCells count="1">
    <mergeCell ref="A1:F2"/>
  </mergeCells>
  <pageMargins left="0.7" right="0.7" top="0.75" bottom="0.75" header="0.3" footer="0.3"/>
  <pageSetup orientation="landscape" horizontalDpi="4294967293" verticalDpi="429496729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I14"/>
  <sheetViews>
    <sheetView zoomScale="120" zoomScaleNormal="120" workbookViewId="0">
      <selection activeCell="N15" sqref="N15"/>
    </sheetView>
  </sheetViews>
  <sheetFormatPr baseColWidth="10" defaultColWidth="9.1640625" defaultRowHeight="13" x14ac:dyDescent="0.15"/>
  <cols>
    <col min="1" max="1" width="19.6640625" style="32" customWidth="1"/>
    <col min="2" max="2" width="1.33203125" style="32" customWidth="1"/>
    <col min="3" max="16384" width="9.1640625" style="32"/>
  </cols>
  <sheetData>
    <row r="1" spans="1:9" x14ac:dyDescent="0.15">
      <c r="A1" s="413" t="s">
        <v>410</v>
      </c>
      <c r="B1" s="414"/>
      <c r="C1" s="414"/>
      <c r="D1" s="414"/>
      <c r="E1" s="414"/>
      <c r="F1" s="414"/>
      <c r="G1" s="415"/>
    </row>
    <row r="2" spans="1:9" x14ac:dyDescent="0.15">
      <c r="A2" s="416"/>
      <c r="B2" s="417"/>
      <c r="C2" s="417"/>
      <c r="D2" s="417"/>
      <c r="E2" s="417"/>
      <c r="F2" s="417"/>
      <c r="G2" s="418"/>
    </row>
    <row r="3" spans="1:9" s="270" customFormat="1" x14ac:dyDescent="0.15">
      <c r="A3" s="333"/>
      <c r="B3" s="269"/>
      <c r="C3" s="269"/>
      <c r="D3" s="269"/>
      <c r="E3" s="269"/>
      <c r="F3" s="269"/>
      <c r="G3" s="334"/>
    </row>
    <row r="4" spans="1:9" ht="18" customHeight="1" x14ac:dyDescent="0.2">
      <c r="A4" s="335" t="s">
        <v>133</v>
      </c>
      <c r="B4" s="250"/>
      <c r="C4" s="250" t="s">
        <v>388</v>
      </c>
      <c r="D4" s="250" t="s">
        <v>389</v>
      </c>
      <c r="E4" s="250" t="s">
        <v>390</v>
      </c>
      <c r="F4" s="250" t="s">
        <v>391</v>
      </c>
      <c r="G4" s="336" t="s">
        <v>392</v>
      </c>
      <c r="I4" s="44"/>
    </row>
    <row r="5" spans="1:9" x14ac:dyDescent="0.15">
      <c r="A5" s="337"/>
      <c r="B5" s="245"/>
      <c r="C5" s="245"/>
      <c r="D5" s="245"/>
      <c r="E5" s="245"/>
      <c r="F5" s="245"/>
      <c r="G5" s="338"/>
    </row>
    <row r="6" spans="1:9" ht="16" x14ac:dyDescent="0.2">
      <c r="A6" s="339" t="s">
        <v>262</v>
      </c>
      <c r="B6" s="246"/>
      <c r="C6" s="247">
        <v>75</v>
      </c>
      <c r="D6" s="247">
        <v>75</v>
      </c>
      <c r="E6" s="247">
        <v>75</v>
      </c>
      <c r="F6" s="247">
        <v>75</v>
      </c>
      <c r="G6" s="340">
        <v>75</v>
      </c>
      <c r="I6" s="44"/>
    </row>
    <row r="7" spans="1:9" ht="16" x14ac:dyDescent="0.2">
      <c r="A7" s="339">
        <v>1</v>
      </c>
      <c r="B7" s="246"/>
      <c r="C7" s="247">
        <v>75</v>
      </c>
      <c r="D7" s="247">
        <v>75</v>
      </c>
      <c r="E7" s="247">
        <v>75</v>
      </c>
      <c r="F7" s="247">
        <v>75</v>
      </c>
      <c r="G7" s="340">
        <v>75</v>
      </c>
    </row>
    <row r="8" spans="1:9" ht="16" x14ac:dyDescent="0.2">
      <c r="A8" s="339">
        <v>2</v>
      </c>
      <c r="B8" s="246"/>
      <c r="C8" s="247">
        <v>50</v>
      </c>
      <c r="D8" s="247">
        <v>75</v>
      </c>
      <c r="E8" s="247">
        <v>75</v>
      </c>
      <c r="F8" s="247">
        <v>75</v>
      </c>
      <c r="G8" s="340">
        <v>75</v>
      </c>
    </row>
    <row r="9" spans="1:9" ht="16" x14ac:dyDescent="0.2">
      <c r="A9" s="339">
        <v>3</v>
      </c>
      <c r="B9" s="246"/>
      <c r="C9" s="247"/>
      <c r="D9" s="247">
        <v>50</v>
      </c>
      <c r="E9" s="247">
        <v>75</v>
      </c>
      <c r="F9" s="247">
        <v>75</v>
      </c>
      <c r="G9" s="340">
        <v>75</v>
      </c>
    </row>
    <row r="10" spans="1:9" ht="16" x14ac:dyDescent="0.2">
      <c r="A10" s="339">
        <v>4</v>
      </c>
      <c r="B10" s="246"/>
      <c r="C10" s="248"/>
      <c r="D10" s="249"/>
      <c r="E10" s="247">
        <v>50</v>
      </c>
      <c r="F10" s="247">
        <v>75</v>
      </c>
      <c r="G10" s="340">
        <v>75</v>
      </c>
    </row>
    <row r="11" spans="1:9" ht="16" x14ac:dyDescent="0.2">
      <c r="A11" s="339">
        <v>5</v>
      </c>
      <c r="B11" s="246"/>
      <c r="C11" s="248"/>
      <c r="D11" s="248"/>
      <c r="E11" s="249"/>
      <c r="F11" s="247">
        <v>50</v>
      </c>
      <c r="G11" s="340">
        <v>75</v>
      </c>
    </row>
    <row r="12" spans="1:9" ht="17" thickBot="1" x14ac:dyDescent="0.25">
      <c r="A12" s="341" t="s">
        <v>134</v>
      </c>
      <c r="B12" s="342"/>
      <c r="C12" s="343">
        <f t="shared" ref="C12:G12" si="0">SUM(C6:C11)</f>
        <v>200</v>
      </c>
      <c r="D12" s="343">
        <f t="shared" si="0"/>
        <v>275</v>
      </c>
      <c r="E12" s="343">
        <f t="shared" si="0"/>
        <v>350</v>
      </c>
      <c r="F12" s="343">
        <f t="shared" si="0"/>
        <v>425</v>
      </c>
      <c r="G12" s="344">
        <f t="shared" si="0"/>
        <v>450</v>
      </c>
    </row>
    <row r="13" spans="1:9" ht="16" x14ac:dyDescent="0.2">
      <c r="A13" s="33"/>
      <c r="B13" s="33"/>
      <c r="C13" s="33"/>
      <c r="D13" s="33"/>
      <c r="E13" s="33"/>
      <c r="F13" s="33"/>
      <c r="G13" s="33"/>
    </row>
    <row r="14" spans="1:9" ht="16" x14ac:dyDescent="0.2">
      <c r="A14" s="33"/>
    </row>
  </sheetData>
  <mergeCells count="1">
    <mergeCell ref="A1:G2"/>
  </mergeCells>
  <pageMargins left="0.7" right="0.7" top="0.75" bottom="0.75" header="0.3" footer="0.3"/>
  <pageSetup orientation="portrait" horizontalDpi="4294967293"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R46"/>
  <sheetViews>
    <sheetView zoomScale="120" zoomScaleNormal="120" workbookViewId="0">
      <selection activeCell="D3" sqref="D3"/>
    </sheetView>
  </sheetViews>
  <sheetFormatPr baseColWidth="10" defaultColWidth="9.1640625" defaultRowHeight="13" x14ac:dyDescent="0.15"/>
  <cols>
    <col min="1" max="1" width="17.83203125" style="84" customWidth="1"/>
    <col min="2" max="2" width="9.1640625" style="288" customWidth="1"/>
    <col min="3" max="3" width="7.33203125" style="84" customWidth="1"/>
    <col min="4" max="4" width="7.5" style="84" customWidth="1"/>
    <col min="5" max="5" width="8.1640625" style="84" customWidth="1"/>
    <col min="6" max="6" width="8.33203125" style="84" customWidth="1"/>
    <col min="7" max="7" width="8.6640625" style="84" customWidth="1"/>
    <col min="8" max="8" width="9" style="84" customWidth="1"/>
    <col min="9" max="9" width="8" style="84" customWidth="1"/>
    <col min="10" max="10" width="9" style="84" customWidth="1"/>
    <col min="11" max="11" width="10.1640625" style="84" customWidth="1"/>
    <col min="12" max="12" width="12.5" style="95" customWidth="1"/>
    <col min="13" max="16" width="9.1640625" style="95" customWidth="1"/>
    <col min="17" max="17" width="9.1640625" style="84" customWidth="1"/>
    <col min="18" max="16384" width="9.1640625" style="84"/>
  </cols>
  <sheetData>
    <row r="1" spans="1:18" ht="26" customHeight="1" thickBot="1" x14ac:dyDescent="0.2">
      <c r="A1" s="419" t="s">
        <v>402</v>
      </c>
      <c r="B1" s="419"/>
      <c r="C1" s="419"/>
      <c r="D1" s="419"/>
      <c r="E1" s="419"/>
      <c r="F1" s="419"/>
      <c r="G1" s="419"/>
      <c r="H1" s="419"/>
      <c r="I1" s="419"/>
      <c r="J1" s="419"/>
      <c r="K1" s="419"/>
      <c r="L1" s="419"/>
    </row>
    <row r="2" spans="1:18" ht="42" x14ac:dyDescent="0.15">
      <c r="A2" s="346"/>
      <c r="B2" s="347" t="s">
        <v>383</v>
      </c>
      <c r="C2" s="348" t="s">
        <v>160</v>
      </c>
      <c r="D2" s="349" t="s">
        <v>147</v>
      </c>
      <c r="E2" s="350" t="s">
        <v>161</v>
      </c>
      <c r="F2" s="350" t="s">
        <v>162</v>
      </c>
      <c r="G2" s="350" t="s">
        <v>329</v>
      </c>
      <c r="H2" s="350" t="s">
        <v>330</v>
      </c>
      <c r="I2" s="349" t="s">
        <v>148</v>
      </c>
      <c r="J2" s="350" t="s">
        <v>163</v>
      </c>
      <c r="K2" s="351" t="s">
        <v>164</v>
      </c>
      <c r="L2" s="360" t="s">
        <v>134</v>
      </c>
      <c r="M2" s="345"/>
      <c r="N2" s="205"/>
      <c r="Q2" s="95"/>
      <c r="R2" s="95"/>
    </row>
    <row r="3" spans="1:18" x14ac:dyDescent="0.15">
      <c r="A3" s="352" t="s">
        <v>403</v>
      </c>
      <c r="B3" s="289">
        <f>Enrollment!C12</f>
        <v>200</v>
      </c>
      <c r="C3" s="262">
        <v>0.93</v>
      </c>
      <c r="D3" s="96">
        <f>B3*C3</f>
        <v>186</v>
      </c>
      <c r="E3" s="86">
        <f>B17</f>
        <v>18.85575</v>
      </c>
      <c r="F3" s="86">
        <f>C17</f>
        <v>-9.7649999999999904E-2</v>
      </c>
      <c r="G3" s="86">
        <f>B3*0.5*1*144/1044</f>
        <v>13.793103448275861</v>
      </c>
      <c r="H3" s="86"/>
      <c r="I3" s="86">
        <f>SUM(D3:H3)</f>
        <v>218.55120344827588</v>
      </c>
      <c r="J3" s="256">
        <v>9200</v>
      </c>
      <c r="K3" s="263">
        <v>0.98499999999999999</v>
      </c>
      <c r="L3" s="361">
        <f>I3*J3*K3</f>
        <v>1980511.0056482761</v>
      </c>
      <c r="M3" s="256"/>
      <c r="N3" s="206"/>
      <c r="Q3" s="95"/>
      <c r="R3" s="95"/>
    </row>
    <row r="4" spans="1:18" x14ac:dyDescent="0.15">
      <c r="A4" s="352" t="s">
        <v>404</v>
      </c>
      <c r="B4" s="289">
        <f>Enrollment!D12</f>
        <v>275</v>
      </c>
      <c r="C4" s="262">
        <v>0.93</v>
      </c>
      <c r="D4" s="96">
        <f>B4*C4</f>
        <v>255.75</v>
      </c>
      <c r="E4" s="86">
        <f>E17</f>
        <v>22.729781250000006</v>
      </c>
      <c r="F4" s="86">
        <f>F17</f>
        <v>1.7838562499999999</v>
      </c>
      <c r="G4" s="86">
        <f>B4*0.5*1*144/1044</f>
        <v>18.96551724137931</v>
      </c>
      <c r="H4" s="86">
        <f>(B3*0.75*0.85)*35*7/1044</f>
        <v>29.920977011494251</v>
      </c>
      <c r="I4" s="86">
        <f>SUM(D4:H4)</f>
        <v>329.15013175287356</v>
      </c>
      <c r="J4" s="256">
        <v>9200</v>
      </c>
      <c r="K4" s="263">
        <v>0.98499999999999999</v>
      </c>
      <c r="L4" s="361">
        <f>I4*J4*K4</f>
        <v>2982758.4939445402</v>
      </c>
      <c r="M4" s="256"/>
      <c r="N4" s="206"/>
      <c r="Q4" s="95"/>
      <c r="R4" s="95"/>
    </row>
    <row r="5" spans="1:18" x14ac:dyDescent="0.15">
      <c r="A5" s="352" t="s">
        <v>336</v>
      </c>
      <c r="B5" s="289">
        <f>Enrollment!E12</f>
        <v>350</v>
      </c>
      <c r="C5" s="262">
        <v>0.93</v>
      </c>
      <c r="D5" s="96">
        <f>B5*C5</f>
        <v>325.5</v>
      </c>
      <c r="E5" s="86">
        <f>H17</f>
        <v>24.860062499999998</v>
      </c>
      <c r="F5" s="86">
        <f>I17</f>
        <v>4.7116124999999993</v>
      </c>
      <c r="G5" s="86">
        <f>B5*0.5*1*144/1044</f>
        <v>24.137931034482758</v>
      </c>
      <c r="H5" s="86">
        <f>(B4*0.75*0.85)*35*7/1044</f>
        <v>41.1413433908046</v>
      </c>
      <c r="I5" s="86">
        <f>SUM(D5:H5)</f>
        <v>420.35094942528735</v>
      </c>
      <c r="J5" s="256">
        <v>9200</v>
      </c>
      <c r="K5" s="263">
        <v>0.98499999999999999</v>
      </c>
      <c r="L5" s="361">
        <f>I5*J5*K5</f>
        <v>3809220.3036919539</v>
      </c>
      <c r="M5" s="256"/>
      <c r="N5" s="206"/>
      <c r="Q5" s="95"/>
      <c r="R5" s="95"/>
    </row>
    <row r="6" spans="1:18" x14ac:dyDescent="0.15">
      <c r="A6" s="352" t="s">
        <v>337</v>
      </c>
      <c r="B6" s="289">
        <f>Enrollment!F12</f>
        <v>425</v>
      </c>
      <c r="C6" s="262">
        <v>0.93</v>
      </c>
      <c r="D6" s="96">
        <f>B6*C6</f>
        <v>395.25</v>
      </c>
      <c r="E6" s="86">
        <f>K17</f>
        <v>30.187218749999996</v>
      </c>
      <c r="F6" s="86">
        <f>L17</f>
        <v>8.6856187500000015</v>
      </c>
      <c r="G6" s="86">
        <f>B6*0.5*1*144/1044</f>
        <v>29.310344827586206</v>
      </c>
      <c r="H6" s="86">
        <f>(B5*0.75*0.85)*35*7/1044</f>
        <v>52.361709770114942</v>
      </c>
      <c r="I6" s="86">
        <f>SUM(D6:H6)</f>
        <v>515.79489209770122</v>
      </c>
      <c r="J6" s="256">
        <v>9200</v>
      </c>
      <c r="K6" s="263">
        <v>0.98499999999999999</v>
      </c>
      <c r="L6" s="361">
        <f>I6*J6*K6</f>
        <v>4674133.3121893685</v>
      </c>
      <c r="M6" s="256"/>
      <c r="N6" s="206"/>
      <c r="Q6" s="95"/>
      <c r="R6" s="95"/>
    </row>
    <row r="7" spans="1:18" ht="14" thickBot="1" x14ac:dyDescent="0.2">
      <c r="A7" s="353" t="s">
        <v>405</v>
      </c>
      <c r="B7" s="354">
        <f>Enrollment!G12</f>
        <v>450</v>
      </c>
      <c r="C7" s="355">
        <v>0.93</v>
      </c>
      <c r="D7" s="356">
        <f>B7*C7</f>
        <v>418.5</v>
      </c>
      <c r="E7" s="357">
        <f>N17</f>
        <v>31.962937499999999</v>
      </c>
      <c r="F7" s="357">
        <f>O17</f>
        <v>12.335287499999998</v>
      </c>
      <c r="G7" s="357">
        <f>B7*0.5*1*144/1044</f>
        <v>31.03448275862069</v>
      </c>
      <c r="H7" s="357">
        <f>(B6*0.75*0.85)*35*7/1044</f>
        <v>63.582076149425291</v>
      </c>
      <c r="I7" s="357">
        <f>SUM(D7:H7)</f>
        <v>557.41478390804605</v>
      </c>
      <c r="J7" s="358">
        <v>9200</v>
      </c>
      <c r="K7" s="359">
        <v>0.98499999999999999</v>
      </c>
      <c r="L7" s="362">
        <f>I7*J7*K7</f>
        <v>5051292.7717747129</v>
      </c>
      <c r="M7" s="256"/>
      <c r="N7" s="206"/>
      <c r="Q7" s="95"/>
      <c r="R7" s="95"/>
    </row>
    <row r="8" spans="1:18" x14ac:dyDescent="0.15">
      <c r="H8" s="87"/>
    </row>
    <row r="9" spans="1:18" x14ac:dyDescent="0.15">
      <c r="B9" s="422" t="s">
        <v>403</v>
      </c>
      <c r="C9" s="397"/>
      <c r="E9" s="422" t="s">
        <v>404</v>
      </c>
      <c r="F9" s="397"/>
      <c r="H9" s="422" t="s">
        <v>336</v>
      </c>
      <c r="I9" s="397"/>
      <c r="K9" s="420" t="s">
        <v>337</v>
      </c>
      <c r="L9" s="421"/>
      <c r="N9" s="420" t="s">
        <v>405</v>
      </c>
      <c r="O9" s="421"/>
      <c r="P9" s="84"/>
    </row>
    <row r="10" spans="1:18" x14ac:dyDescent="0.15">
      <c r="B10" s="89" t="s">
        <v>165</v>
      </c>
      <c r="C10" s="89" t="s">
        <v>166</v>
      </c>
      <c r="D10" s="89"/>
      <c r="E10" s="89" t="s">
        <v>165</v>
      </c>
      <c r="F10" s="89" t="s">
        <v>166</v>
      </c>
      <c r="G10" s="89"/>
      <c r="H10" s="89" t="s">
        <v>165</v>
      </c>
      <c r="I10" s="89" t="s">
        <v>166</v>
      </c>
      <c r="J10" s="89"/>
      <c r="K10" s="199" t="s">
        <v>165</v>
      </c>
      <c r="L10" s="199" t="s">
        <v>166</v>
      </c>
      <c r="M10" s="199"/>
      <c r="N10" s="199" t="s">
        <v>165</v>
      </c>
      <c r="O10" s="199" t="s">
        <v>166</v>
      </c>
      <c r="P10" s="84"/>
    </row>
    <row r="11" spans="1:18" x14ac:dyDescent="0.15">
      <c r="A11" s="90" t="s">
        <v>167</v>
      </c>
      <c r="B11" s="91">
        <v>0.7</v>
      </c>
      <c r="C11" s="91">
        <v>0.02</v>
      </c>
      <c r="D11" s="91"/>
      <c r="E11" s="91">
        <v>0.65</v>
      </c>
      <c r="F11" s="91">
        <v>0.03</v>
      </c>
      <c r="G11" s="91"/>
      <c r="H11" s="91">
        <v>0.6</v>
      </c>
      <c r="I11" s="91">
        <v>0.04</v>
      </c>
      <c r="J11" s="91"/>
      <c r="K11" s="91">
        <v>0.6</v>
      </c>
      <c r="L11" s="91">
        <v>0.05</v>
      </c>
      <c r="M11" s="200"/>
      <c r="N11" s="200">
        <v>0.6</v>
      </c>
      <c r="O11" s="200">
        <v>0.06</v>
      </c>
      <c r="P11" s="84"/>
    </row>
    <row r="12" spans="1:18" x14ac:dyDescent="0.15">
      <c r="A12" s="84" t="s">
        <v>168</v>
      </c>
      <c r="B12" s="93">
        <f>D3*B11</f>
        <v>130.19999999999999</v>
      </c>
      <c r="C12" s="93">
        <f>D3*C11</f>
        <v>3.72</v>
      </c>
      <c r="D12" s="93"/>
      <c r="E12" s="93">
        <f>D4*E11</f>
        <v>166.23750000000001</v>
      </c>
      <c r="F12" s="93">
        <f>D4*F11</f>
        <v>7.6724999999999994</v>
      </c>
      <c r="G12" s="93"/>
      <c r="H12" s="93">
        <f>D5*H11</f>
        <v>195.29999999999998</v>
      </c>
      <c r="I12" s="93">
        <f>D5*I11</f>
        <v>13.02</v>
      </c>
      <c r="J12" s="93"/>
      <c r="K12" s="201">
        <f>D6*K11</f>
        <v>237.14999999999998</v>
      </c>
      <c r="L12" s="201">
        <f>D6*L11</f>
        <v>19.762500000000003</v>
      </c>
      <c r="M12" s="201"/>
      <c r="N12" s="201">
        <f>D7*N11</f>
        <v>251.1</v>
      </c>
      <c r="O12" s="202">
        <f>D7*O11</f>
        <v>25.11</v>
      </c>
      <c r="P12" s="84"/>
    </row>
    <row r="13" spans="1:18" x14ac:dyDescent="0.15">
      <c r="A13" s="90" t="s">
        <v>169</v>
      </c>
      <c r="B13" s="277">
        <v>0.29449999999999998</v>
      </c>
      <c r="C13" s="277">
        <v>2.07E-2</v>
      </c>
      <c r="D13" s="92"/>
      <c r="E13" s="277">
        <v>0.29449999999999998</v>
      </c>
      <c r="F13" s="277">
        <v>2.07E-2</v>
      </c>
      <c r="G13" s="92"/>
      <c r="H13" s="277">
        <v>0.29449999999999998</v>
      </c>
      <c r="I13" s="277">
        <v>2.07E-2</v>
      </c>
      <c r="J13" s="92"/>
      <c r="K13" s="277">
        <v>0.29449999999999998</v>
      </c>
      <c r="L13" s="277">
        <v>2.07E-2</v>
      </c>
      <c r="M13" s="203"/>
      <c r="N13" s="277">
        <v>0.29449999999999998</v>
      </c>
      <c r="O13" s="277">
        <v>2.07E-2</v>
      </c>
      <c r="P13" s="84"/>
    </row>
    <row r="14" spans="1:18" x14ac:dyDescent="0.15">
      <c r="A14" s="84" t="s">
        <v>170</v>
      </c>
      <c r="B14" s="93">
        <f>D3*B13</f>
        <v>54.776999999999994</v>
      </c>
      <c r="C14" s="93">
        <f>D3*C13</f>
        <v>3.8502000000000001</v>
      </c>
      <c r="D14" s="93"/>
      <c r="E14" s="93">
        <f>D4*E13</f>
        <v>75.318374999999989</v>
      </c>
      <c r="F14" s="93">
        <f>D4*F13</f>
        <v>5.2940249999999995</v>
      </c>
      <c r="G14" s="93"/>
      <c r="H14" s="93">
        <f>D5*H13</f>
        <v>95.859749999999991</v>
      </c>
      <c r="I14" s="93">
        <f>D5*I13</f>
        <v>6.7378499999999999</v>
      </c>
      <c r="J14" s="93"/>
      <c r="K14" s="201">
        <f>D6*K13</f>
        <v>116.40112499999999</v>
      </c>
      <c r="L14" s="201">
        <f>D6*L13</f>
        <v>8.1816750000000003</v>
      </c>
      <c r="M14" s="201"/>
      <c r="N14" s="201">
        <f>D7*N13</f>
        <v>123.24825</v>
      </c>
      <c r="O14" s="201">
        <f>O13*D7</f>
        <v>8.6629500000000004</v>
      </c>
      <c r="P14" s="84"/>
    </row>
    <row r="15" spans="1:18" x14ac:dyDescent="0.15">
      <c r="A15" s="84" t="s">
        <v>171</v>
      </c>
      <c r="B15" s="93">
        <f>B12-B14</f>
        <v>75.423000000000002</v>
      </c>
      <c r="C15" s="93">
        <f>C12-C14</f>
        <v>-0.13019999999999987</v>
      </c>
      <c r="D15" s="93"/>
      <c r="E15" s="93">
        <f>E12-E14</f>
        <v>90.919125000000022</v>
      </c>
      <c r="F15" s="93">
        <f>F12-F14</f>
        <v>2.3784749999999999</v>
      </c>
      <c r="G15" s="93"/>
      <c r="H15" s="93">
        <f>H12-H14</f>
        <v>99.440249999999992</v>
      </c>
      <c r="I15" s="93">
        <f>I12-I14</f>
        <v>6.2821499999999997</v>
      </c>
      <c r="J15" s="93"/>
      <c r="K15" s="201">
        <f>K12-K14</f>
        <v>120.74887499999998</v>
      </c>
      <c r="L15" s="201">
        <f>L12-L14</f>
        <v>11.580825000000003</v>
      </c>
      <c r="M15" s="201"/>
      <c r="N15" s="201">
        <f>N12-N14</f>
        <v>127.85175</v>
      </c>
      <c r="O15" s="201">
        <f>O12-O14</f>
        <v>16.447049999999997</v>
      </c>
      <c r="P15" s="84"/>
    </row>
    <row r="16" spans="1:18" x14ac:dyDescent="0.15">
      <c r="A16" s="84" t="s">
        <v>172</v>
      </c>
      <c r="B16" s="288">
        <v>0.25</v>
      </c>
      <c r="C16" s="88">
        <v>0.75</v>
      </c>
      <c r="D16" s="88"/>
      <c r="E16" s="88">
        <v>0.25</v>
      </c>
      <c r="F16" s="88">
        <v>0.75</v>
      </c>
      <c r="G16" s="88"/>
      <c r="H16" s="88">
        <v>0.25</v>
      </c>
      <c r="I16" s="88">
        <v>0.75</v>
      </c>
      <c r="J16" s="88"/>
      <c r="K16" s="198">
        <v>0.25</v>
      </c>
      <c r="L16" s="198">
        <v>0.75</v>
      </c>
      <c r="M16" s="198"/>
      <c r="N16" s="198">
        <v>0.25</v>
      </c>
      <c r="O16" s="198">
        <v>0.75</v>
      </c>
      <c r="P16" s="84"/>
    </row>
    <row r="17" spans="1:16" x14ac:dyDescent="0.15">
      <c r="A17" s="100" t="s">
        <v>148</v>
      </c>
      <c r="B17" s="197">
        <f>B15*B16</f>
        <v>18.85575</v>
      </c>
      <c r="C17" s="197">
        <f>C15*C16</f>
        <v>-9.7649999999999904E-2</v>
      </c>
      <c r="D17" s="197"/>
      <c r="E17" s="197">
        <f>E15*E16</f>
        <v>22.729781250000006</v>
      </c>
      <c r="F17" s="197">
        <f>F15*F16</f>
        <v>1.7838562499999999</v>
      </c>
      <c r="G17" s="197"/>
      <c r="H17" s="197">
        <f>H15*H16</f>
        <v>24.860062499999998</v>
      </c>
      <c r="I17" s="197">
        <f>I15*I16</f>
        <v>4.7116124999999993</v>
      </c>
      <c r="J17" s="197"/>
      <c r="K17" s="204">
        <f>K15*K16</f>
        <v>30.187218749999996</v>
      </c>
      <c r="L17" s="204">
        <f>L15*L16</f>
        <v>8.6856187500000015</v>
      </c>
      <c r="M17" s="204"/>
      <c r="N17" s="204">
        <f>N15*N16</f>
        <v>31.962937499999999</v>
      </c>
      <c r="O17" s="204">
        <f>O15*O16</f>
        <v>12.335287499999998</v>
      </c>
      <c r="P17" s="84"/>
    </row>
    <row r="20" spans="1:16" hidden="1" x14ac:dyDescent="0.15">
      <c r="B20" s="397" t="s">
        <v>138</v>
      </c>
      <c r="C20" s="397"/>
      <c r="E20" s="397" t="s">
        <v>139</v>
      </c>
      <c r="F20" s="397"/>
    </row>
    <row r="21" spans="1:16" hidden="1" x14ac:dyDescent="0.15">
      <c r="B21" s="89" t="s">
        <v>165</v>
      </c>
      <c r="C21" s="89" t="s">
        <v>166</v>
      </c>
      <c r="E21" s="89" t="s">
        <v>165</v>
      </c>
      <c r="F21" s="89" t="s">
        <v>166</v>
      </c>
    </row>
    <row r="22" spans="1:16" hidden="1" x14ac:dyDescent="0.15">
      <c r="A22" s="90" t="s">
        <v>167</v>
      </c>
      <c r="B22" s="91">
        <v>0.5</v>
      </c>
      <c r="C22" s="91">
        <v>0.08</v>
      </c>
      <c r="E22" s="91">
        <v>0.5</v>
      </c>
      <c r="F22" s="91">
        <v>0.09</v>
      </c>
    </row>
    <row r="23" spans="1:16" hidden="1" x14ac:dyDescent="0.15">
      <c r="A23" s="84" t="s">
        <v>168</v>
      </c>
      <c r="B23" s="93">
        <f>B22*D6</f>
        <v>197.625</v>
      </c>
      <c r="C23" s="93">
        <f>C22*D6</f>
        <v>31.62</v>
      </c>
      <c r="E23" s="93">
        <f>E22*D7</f>
        <v>209.25</v>
      </c>
      <c r="F23" s="93">
        <f>F22*D7</f>
        <v>37.664999999999999</v>
      </c>
    </row>
    <row r="24" spans="1:16" hidden="1" x14ac:dyDescent="0.15">
      <c r="A24" s="90" t="s">
        <v>169</v>
      </c>
      <c r="B24" s="92">
        <v>0.314</v>
      </c>
      <c r="C24" s="92">
        <v>2.5000000000000001E-2</v>
      </c>
      <c r="E24" s="92">
        <v>0.314</v>
      </c>
      <c r="F24" s="92">
        <v>2.5000000000000001E-2</v>
      </c>
    </row>
    <row r="25" spans="1:16" hidden="1" x14ac:dyDescent="0.15">
      <c r="A25" s="84" t="s">
        <v>170</v>
      </c>
      <c r="B25" s="93">
        <f>B24*D6</f>
        <v>124.10850000000001</v>
      </c>
      <c r="C25" s="93">
        <f>D6*C24</f>
        <v>9.8812500000000014</v>
      </c>
      <c r="E25" s="93">
        <f>E24*D7</f>
        <v>131.40899999999999</v>
      </c>
      <c r="F25" s="93">
        <f>F24*D7</f>
        <v>10.4625</v>
      </c>
    </row>
    <row r="26" spans="1:16" hidden="1" x14ac:dyDescent="0.15">
      <c r="A26" s="84" t="s">
        <v>171</v>
      </c>
      <c r="B26" s="93">
        <f>B23-B25</f>
        <v>73.516499999999994</v>
      </c>
      <c r="C26" s="93">
        <f>C23-C25</f>
        <v>21.73875</v>
      </c>
      <c r="E26" s="93">
        <f>E23-E25</f>
        <v>77.841000000000008</v>
      </c>
      <c r="F26" s="93">
        <f>F23-F25</f>
        <v>27.202500000000001</v>
      </c>
    </row>
    <row r="27" spans="1:16" hidden="1" x14ac:dyDescent="0.15">
      <c r="A27" s="84" t="s">
        <v>172</v>
      </c>
      <c r="B27" s="288">
        <v>0.25</v>
      </c>
      <c r="C27" s="88">
        <v>0.6</v>
      </c>
      <c r="E27" s="88">
        <v>0.25</v>
      </c>
      <c r="F27" s="88">
        <v>0.6</v>
      </c>
    </row>
    <row r="28" spans="1:16" hidden="1" x14ac:dyDescent="0.15">
      <c r="A28" s="100" t="s">
        <v>173</v>
      </c>
      <c r="B28" s="197">
        <f>B26*B27</f>
        <v>18.379124999999998</v>
      </c>
      <c r="C28" s="197">
        <f>C26*C27</f>
        <v>13.043249999999999</v>
      </c>
      <c r="E28" s="197">
        <f>E26*E27</f>
        <v>19.460250000000002</v>
      </c>
      <c r="F28" s="197">
        <f>F26*F27</f>
        <v>16.3215</v>
      </c>
    </row>
    <row r="29" spans="1:16" hidden="1" x14ac:dyDescent="0.15"/>
    <row r="30" spans="1:16" hidden="1" x14ac:dyDescent="0.15"/>
    <row r="31" spans="1:16" x14ac:dyDescent="0.15">
      <c r="B31" s="290" t="s">
        <v>317</v>
      </c>
      <c r="C31" s="90"/>
      <c r="D31" s="97" t="s">
        <v>388</v>
      </c>
      <c r="E31" s="97" t="s">
        <v>389</v>
      </c>
      <c r="F31" s="97" t="s">
        <v>390</v>
      </c>
      <c r="G31" s="97" t="s">
        <v>391</v>
      </c>
      <c r="H31" s="97" t="s">
        <v>392</v>
      </c>
      <c r="I31" s="90"/>
    </row>
    <row r="32" spans="1:16" x14ac:dyDescent="0.15">
      <c r="A32" s="84" t="s">
        <v>174</v>
      </c>
      <c r="B32" s="291">
        <v>750</v>
      </c>
      <c r="D32" s="291">
        <f>B12</f>
        <v>130.19999999999999</v>
      </c>
      <c r="E32" s="291">
        <f>E12</f>
        <v>166.23750000000001</v>
      </c>
      <c r="F32" s="291">
        <f>H12</f>
        <v>195.29999999999998</v>
      </c>
      <c r="G32" s="291">
        <f>K12</f>
        <v>237.14999999999998</v>
      </c>
      <c r="H32" s="291">
        <f>N12</f>
        <v>251.1</v>
      </c>
    </row>
    <row r="33" spans="1:8" ht="15" x14ac:dyDescent="0.2">
      <c r="A33" s="84" t="s">
        <v>175</v>
      </c>
      <c r="B33" s="291">
        <v>60</v>
      </c>
      <c r="C33" s="94"/>
      <c r="D33" s="291">
        <f>$B$3</f>
        <v>200</v>
      </c>
      <c r="E33" s="291">
        <f>$B$4</f>
        <v>275</v>
      </c>
      <c r="F33" s="291">
        <f>$B$5</f>
        <v>350</v>
      </c>
      <c r="G33" s="291">
        <f>$B$6</f>
        <v>425</v>
      </c>
      <c r="H33" s="291">
        <f>$B$7</f>
        <v>450</v>
      </c>
    </row>
    <row r="34" spans="1:8" x14ac:dyDescent="0.15">
      <c r="A34" s="84" t="s">
        <v>176</v>
      </c>
      <c r="B34" s="291">
        <v>125</v>
      </c>
      <c r="D34" s="291">
        <f>$B$3</f>
        <v>200</v>
      </c>
      <c r="E34" s="291">
        <f>$B$4</f>
        <v>275</v>
      </c>
      <c r="F34" s="291">
        <f>$B$5</f>
        <v>350</v>
      </c>
      <c r="G34" s="291">
        <f>$B$6</f>
        <v>425</v>
      </c>
      <c r="H34" s="291">
        <f>$B$7</f>
        <v>450</v>
      </c>
    </row>
    <row r="35" spans="1:8" x14ac:dyDescent="0.15">
      <c r="A35" s="90" t="s">
        <v>284</v>
      </c>
      <c r="B35" s="291">
        <f>5*174*0.9</f>
        <v>783</v>
      </c>
      <c r="C35" s="144"/>
      <c r="D35" s="291">
        <f>D3</f>
        <v>186</v>
      </c>
      <c r="E35" s="291">
        <f>D4</f>
        <v>255.75</v>
      </c>
      <c r="F35" s="291">
        <f>D5</f>
        <v>325.5</v>
      </c>
      <c r="G35" s="291">
        <f>D6</f>
        <v>395.25</v>
      </c>
      <c r="H35" s="291">
        <f>D7</f>
        <v>418.5</v>
      </c>
    </row>
    <row r="36" spans="1:8" x14ac:dyDescent="0.15">
      <c r="D36" s="288"/>
      <c r="E36" s="288"/>
      <c r="F36" s="288"/>
      <c r="G36" s="288"/>
      <c r="H36" s="288"/>
    </row>
    <row r="37" spans="1:8" x14ac:dyDescent="0.15">
      <c r="D37" s="97" t="s">
        <v>388</v>
      </c>
      <c r="E37" s="97" t="s">
        <v>389</v>
      </c>
      <c r="F37" s="97" t="s">
        <v>390</v>
      </c>
      <c r="G37" s="97" t="s">
        <v>391</v>
      </c>
      <c r="H37" s="97" t="s">
        <v>392</v>
      </c>
    </row>
    <row r="38" spans="1:8" x14ac:dyDescent="0.15">
      <c r="A38" s="84" t="s">
        <v>174</v>
      </c>
      <c r="D38" s="292">
        <f>B32*D32</f>
        <v>97649.999999999985</v>
      </c>
      <c r="E38" s="293">
        <f>B32*E32</f>
        <v>124678.12500000001</v>
      </c>
      <c r="F38" s="293">
        <f>B32*F32</f>
        <v>146475</v>
      </c>
      <c r="G38" s="293">
        <f>G32*B32</f>
        <v>177862.49999999997</v>
      </c>
      <c r="H38" s="293">
        <f>B32*H32</f>
        <v>188325</v>
      </c>
    </row>
    <row r="39" spans="1:8" x14ac:dyDescent="0.15">
      <c r="A39" s="84" t="s">
        <v>175</v>
      </c>
      <c r="D39" s="293">
        <f>B33*D33</f>
        <v>12000</v>
      </c>
      <c r="E39" s="293">
        <f>B33*E33</f>
        <v>16500</v>
      </c>
      <c r="F39" s="293">
        <f>B33*F33</f>
        <v>21000</v>
      </c>
      <c r="G39" s="293">
        <f>B33*G33</f>
        <v>25500</v>
      </c>
      <c r="H39" s="293">
        <f>B33*H33</f>
        <v>27000</v>
      </c>
    </row>
    <row r="40" spans="1:8" x14ac:dyDescent="0.15">
      <c r="A40" s="84" t="s">
        <v>319</v>
      </c>
      <c r="D40" s="293">
        <v>10000</v>
      </c>
      <c r="E40" s="293">
        <v>10000</v>
      </c>
      <c r="F40" s="293">
        <v>10000</v>
      </c>
      <c r="G40" s="293">
        <v>10000</v>
      </c>
      <c r="H40" s="293">
        <v>10000</v>
      </c>
    </row>
    <row r="41" spans="1:8" x14ac:dyDescent="0.15">
      <c r="A41" s="84" t="s">
        <v>176</v>
      </c>
      <c r="D41" s="293">
        <v>16250</v>
      </c>
      <c r="E41" s="293">
        <f>B34*E34</f>
        <v>34375</v>
      </c>
      <c r="F41" s="293">
        <f>B34*F34</f>
        <v>43750</v>
      </c>
      <c r="G41" s="293">
        <f>B34*G34</f>
        <v>53125</v>
      </c>
      <c r="H41" s="293">
        <f>B34*H34</f>
        <v>56250</v>
      </c>
    </row>
    <row r="42" spans="1:8" x14ac:dyDescent="0.15">
      <c r="D42" s="87"/>
      <c r="E42" s="87"/>
      <c r="F42" s="87"/>
      <c r="G42" s="87"/>
      <c r="H42" s="87"/>
    </row>
    <row r="46" spans="1:8" x14ac:dyDescent="0.15">
      <c r="A46" s="255"/>
    </row>
  </sheetData>
  <mergeCells count="8">
    <mergeCell ref="A1:L1"/>
    <mergeCell ref="K9:L9"/>
    <mergeCell ref="N9:O9"/>
    <mergeCell ref="B20:C20"/>
    <mergeCell ref="E20:F20"/>
    <mergeCell ref="B9:C9"/>
    <mergeCell ref="E9:F9"/>
    <mergeCell ref="H9:I9"/>
  </mergeCells>
  <phoneticPr fontId="5" type="noConversion"/>
  <pageMargins left="0.7" right="0.7" top="0.75" bottom="0.75" header="0.3" footer="0.3"/>
  <pageSetup scale="91"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B76"/>
  <sheetViews>
    <sheetView topLeftCell="A48" zoomScale="140" zoomScaleNormal="140" workbookViewId="0">
      <selection activeCell="H62" sqref="H62"/>
    </sheetView>
  </sheetViews>
  <sheetFormatPr baseColWidth="10" defaultColWidth="8.83203125" defaultRowHeight="14" x14ac:dyDescent="0.15"/>
  <cols>
    <col min="1" max="1" width="30.5" style="294" customWidth="1"/>
    <col min="2" max="3" width="28.5" style="294" customWidth="1"/>
    <col min="4" max="4" width="10.1640625" style="294" customWidth="1"/>
    <col min="5" max="6" width="10.33203125" style="294" hidden="1" customWidth="1"/>
    <col min="7" max="7" width="5.5" style="295" customWidth="1"/>
    <col min="8" max="8" width="11.5" style="294" bestFit="1" customWidth="1"/>
    <col min="9" max="9" width="5.5" style="62" customWidth="1"/>
    <col min="10" max="10" width="11.5" style="294" bestFit="1" customWidth="1"/>
    <col min="11" max="11" width="5.5" style="294" customWidth="1"/>
    <col min="12" max="12" width="11.83203125" style="294" customWidth="1"/>
    <col min="13" max="13" width="5.5" style="294" customWidth="1"/>
    <col min="14" max="14" width="11.5" style="294" bestFit="1" customWidth="1"/>
    <col min="15" max="15" width="5.33203125" style="62" customWidth="1"/>
    <col min="16" max="17" width="12.1640625" style="294" customWidth="1"/>
    <col min="18" max="19" width="11" style="294" customWidth="1"/>
    <col min="20" max="20" width="8.83203125" style="294"/>
    <col min="21" max="21" width="9" style="294" customWidth="1"/>
    <col min="22" max="22" width="11" style="294" customWidth="1"/>
    <col min="23" max="24" width="8.83203125" style="294" customWidth="1"/>
    <col min="25" max="25" width="11.5" style="294" customWidth="1"/>
    <col min="26" max="26" width="8.83203125" style="61" customWidth="1"/>
    <col min="27" max="27" width="8.83203125" style="294" customWidth="1"/>
    <col min="28" max="28" width="11.5" style="294" customWidth="1"/>
    <col min="29" max="30" width="8.83203125" style="294" customWidth="1"/>
    <col min="31" max="31" width="11.5" style="294" customWidth="1"/>
    <col min="32" max="33" width="8.83203125" style="294" customWidth="1"/>
    <col min="34" max="34" width="11.5" style="294" customWidth="1"/>
    <col min="35" max="39" width="8.83203125" style="294" customWidth="1"/>
    <col min="40" max="40" width="8.83203125" style="294"/>
    <col min="41" max="41" width="11.5" style="294" bestFit="1" customWidth="1"/>
    <col min="42" max="43" width="8.83203125" style="294"/>
    <col min="44" max="44" width="9.83203125" style="294" bestFit="1" customWidth="1"/>
    <col min="45" max="46" width="8.83203125" style="294"/>
    <col min="47" max="47" width="11.5" style="294" bestFit="1" customWidth="1"/>
    <col min="48" max="49" width="8.83203125" style="294"/>
    <col min="50" max="50" width="11.5" style="294" bestFit="1" customWidth="1"/>
    <col min="51" max="52" width="8.83203125" style="294"/>
    <col min="53" max="53" width="11.5" style="294" bestFit="1" customWidth="1"/>
    <col min="54" max="16384" width="8.83203125" style="294"/>
  </cols>
  <sheetData>
    <row r="1" spans="1:53" ht="27" customHeight="1" x14ac:dyDescent="0.15">
      <c r="A1" s="427" t="s">
        <v>399</v>
      </c>
      <c r="B1" s="427"/>
      <c r="C1" s="427"/>
      <c r="D1" s="427"/>
      <c r="E1" s="427"/>
      <c r="F1" s="427"/>
      <c r="G1" s="427"/>
      <c r="H1" s="427"/>
      <c r="I1" s="427"/>
      <c r="J1" s="427"/>
      <c r="K1" s="427"/>
      <c r="L1" s="427"/>
      <c r="M1" s="427"/>
      <c r="N1" s="427"/>
      <c r="O1" s="427"/>
      <c r="P1" s="427"/>
      <c r="Q1" s="38"/>
    </row>
    <row r="2" spans="1:53" ht="15" thickBot="1" x14ac:dyDescent="0.2">
      <c r="D2" s="298"/>
      <c r="E2" s="38" t="s">
        <v>143</v>
      </c>
      <c r="F2" s="38" t="s">
        <v>143</v>
      </c>
      <c r="G2" s="4" t="s">
        <v>149</v>
      </c>
      <c r="H2" s="38" t="s">
        <v>388</v>
      </c>
      <c r="I2" s="4" t="s">
        <v>149</v>
      </c>
      <c r="J2" s="38" t="s">
        <v>389</v>
      </c>
      <c r="K2" s="4" t="s">
        <v>149</v>
      </c>
      <c r="L2" s="38" t="s">
        <v>390</v>
      </c>
      <c r="M2" s="4" t="s">
        <v>149</v>
      </c>
      <c r="N2" s="38" t="s">
        <v>391</v>
      </c>
      <c r="O2" s="4" t="s">
        <v>149</v>
      </c>
      <c r="P2" s="38" t="s">
        <v>392</v>
      </c>
      <c r="Q2" s="38"/>
    </row>
    <row r="3" spans="1:53" x14ac:dyDescent="0.15">
      <c r="A3" s="327" t="s">
        <v>400</v>
      </c>
      <c r="B3" s="327" t="s">
        <v>88</v>
      </c>
      <c r="C3" s="38" t="s">
        <v>401</v>
      </c>
      <c r="D3" s="329" t="s">
        <v>361</v>
      </c>
      <c r="E3" s="38" t="s">
        <v>89</v>
      </c>
      <c r="F3" s="38" t="s">
        <v>89</v>
      </c>
      <c r="G3" s="4" t="s">
        <v>150</v>
      </c>
      <c r="H3" s="38" t="s">
        <v>89</v>
      </c>
      <c r="I3" s="4" t="s">
        <v>150</v>
      </c>
      <c r="J3" s="38" t="s">
        <v>89</v>
      </c>
      <c r="K3" s="4" t="s">
        <v>150</v>
      </c>
      <c r="L3" s="38" t="s">
        <v>89</v>
      </c>
      <c r="M3" s="4" t="s">
        <v>150</v>
      </c>
      <c r="N3" s="38" t="s">
        <v>89</v>
      </c>
      <c r="O3" s="4" t="s">
        <v>150</v>
      </c>
      <c r="P3" s="38" t="s">
        <v>89</v>
      </c>
      <c r="Q3" s="38" t="s">
        <v>379</v>
      </c>
      <c r="R3" s="327" t="s">
        <v>274</v>
      </c>
      <c r="S3" s="327" t="s">
        <v>367</v>
      </c>
      <c r="U3" s="423" t="s">
        <v>403</v>
      </c>
      <c r="V3" s="424"/>
      <c r="W3" s="425"/>
      <c r="X3" s="423" t="s">
        <v>404</v>
      </c>
      <c r="Y3" s="424"/>
      <c r="Z3" s="425"/>
      <c r="AA3" s="423" t="s">
        <v>336</v>
      </c>
      <c r="AB3" s="424"/>
      <c r="AC3" s="425"/>
      <c r="AD3" s="423" t="s">
        <v>337</v>
      </c>
      <c r="AE3" s="424"/>
      <c r="AF3" s="425"/>
      <c r="AG3" s="424" t="s">
        <v>405</v>
      </c>
      <c r="AH3" s="424"/>
      <c r="AI3" s="425"/>
    </row>
    <row r="4" spans="1:53" x14ac:dyDescent="0.15">
      <c r="A4" s="39" t="s">
        <v>90</v>
      </c>
      <c r="H4" s="297"/>
      <c r="I4" s="314"/>
      <c r="J4" s="297"/>
      <c r="K4" s="314"/>
      <c r="L4" s="297"/>
      <c r="M4" s="314"/>
      <c r="N4" s="297"/>
      <c r="O4" s="295"/>
      <c r="P4" s="299"/>
      <c r="Q4" s="299"/>
      <c r="R4" s="296"/>
      <c r="S4" s="296"/>
      <c r="U4" s="378"/>
      <c r="W4" s="379"/>
      <c r="X4" s="378"/>
      <c r="Z4" s="388"/>
      <c r="AA4" s="378"/>
      <c r="AC4" s="379"/>
      <c r="AD4" s="378"/>
      <c r="AF4" s="379"/>
      <c r="AI4" s="379"/>
      <c r="AO4" s="426"/>
      <c r="AP4" s="426"/>
    </row>
    <row r="5" spans="1:53" x14ac:dyDescent="0.15">
      <c r="B5" s="294" t="s">
        <v>333</v>
      </c>
      <c r="C5" s="294" t="s">
        <v>349</v>
      </c>
      <c r="D5" s="300">
        <v>165000</v>
      </c>
      <c r="F5" s="300"/>
      <c r="G5" s="295">
        <v>1</v>
      </c>
      <c r="H5" s="163">
        <f>G5*D5</f>
        <v>165000</v>
      </c>
      <c r="I5" s="315">
        <v>1</v>
      </c>
      <c r="J5" s="163">
        <v>170000</v>
      </c>
      <c r="K5" s="315">
        <v>1</v>
      </c>
      <c r="L5" s="301">
        <v>175000</v>
      </c>
      <c r="M5" s="315">
        <v>1</v>
      </c>
      <c r="N5" s="163">
        <v>180000</v>
      </c>
      <c r="O5" s="315">
        <v>1</v>
      </c>
      <c r="P5" s="163">
        <v>185000</v>
      </c>
      <c r="Q5" s="163">
        <v>212</v>
      </c>
      <c r="R5" s="294">
        <v>2321</v>
      </c>
      <c r="S5" s="294">
        <v>6111</v>
      </c>
      <c r="U5" s="378"/>
      <c r="V5" s="326" t="s">
        <v>229</v>
      </c>
      <c r="W5" s="386" t="s">
        <v>207</v>
      </c>
      <c r="X5" s="385"/>
      <c r="Y5" s="326" t="s">
        <v>229</v>
      </c>
      <c r="Z5" s="386" t="s">
        <v>207</v>
      </c>
      <c r="AA5" s="385"/>
      <c r="AB5" s="326" t="s">
        <v>229</v>
      </c>
      <c r="AC5" s="386" t="s">
        <v>207</v>
      </c>
      <c r="AD5" s="385"/>
      <c r="AE5" s="326" t="s">
        <v>229</v>
      </c>
      <c r="AF5" s="386" t="s">
        <v>207</v>
      </c>
      <c r="AH5" s="326" t="s">
        <v>229</v>
      </c>
      <c r="AI5" s="386" t="s">
        <v>207</v>
      </c>
      <c r="AJ5" s="294" t="s">
        <v>248</v>
      </c>
      <c r="AL5" s="302">
        <v>1.02</v>
      </c>
    </row>
    <row r="6" spans="1:53" x14ac:dyDescent="0.15">
      <c r="B6" s="294" t="s">
        <v>334</v>
      </c>
      <c r="C6" s="294" t="s">
        <v>350</v>
      </c>
      <c r="D6" s="300">
        <v>91800</v>
      </c>
      <c r="F6" s="300"/>
      <c r="G6" s="295">
        <v>1</v>
      </c>
      <c r="H6" s="163">
        <f>G6*D6</f>
        <v>91800</v>
      </c>
      <c r="I6" s="315">
        <v>1</v>
      </c>
      <c r="J6" s="163">
        <f>H6*I6*$AL$5</f>
        <v>93636</v>
      </c>
      <c r="K6" s="315">
        <v>1</v>
      </c>
      <c r="L6" s="301">
        <f>D6*K6*$AL$6</f>
        <v>95508.72</v>
      </c>
      <c r="M6" s="315">
        <v>1</v>
      </c>
      <c r="N6" s="163">
        <f>L6*AL5</f>
        <v>97418.894400000005</v>
      </c>
      <c r="O6" s="315">
        <v>1</v>
      </c>
      <c r="P6" s="163">
        <f>N6*AL5</f>
        <v>99367.272288000007</v>
      </c>
      <c r="Q6" s="163">
        <v>212</v>
      </c>
      <c r="R6" s="294">
        <v>2411</v>
      </c>
      <c r="S6" s="294">
        <v>6111</v>
      </c>
      <c r="U6" s="378">
        <v>1111</v>
      </c>
      <c r="V6" s="300">
        <f>SUMIF($R$5:$R$64,U6,$H$5:$H$64)</f>
        <v>1105214.3800000001</v>
      </c>
      <c r="W6" s="380">
        <f t="shared" ref="W6:W17" si="0">SUMIF($R$5:$R$65,U6,$G$5:$G$65)</f>
        <v>25</v>
      </c>
      <c r="X6" s="378">
        <v>1111</v>
      </c>
      <c r="Y6" s="300">
        <f t="shared" ref="Y6:Y17" si="1">SUMIF($R$5:$R$65,X6,$J$5:$J$65)</f>
        <v>1309418.6676</v>
      </c>
      <c r="Z6" s="389">
        <f t="shared" ref="Z6:Z17" si="2">SUMIF($R$5:$R$65,U6,$I$5:$I$65)</f>
        <v>32</v>
      </c>
      <c r="AA6" s="378">
        <v>1111</v>
      </c>
      <c r="AB6" s="300">
        <f t="shared" ref="AB6:AB17" si="3">SUMIF($R$5:$R$65,AA6,$L$5:$L$65)</f>
        <v>1622834.7051359999</v>
      </c>
      <c r="AC6" s="380">
        <f t="shared" ref="AC6:AC17" si="4">SUMIF($R$5:$R$65,U6,$K$5:$K$65)</f>
        <v>39</v>
      </c>
      <c r="AD6" s="378">
        <v>1111</v>
      </c>
      <c r="AE6" s="300">
        <f t="shared" ref="AE6:AE17" si="5">SUMIF($R$5:$R$65,AD6,$N$5:$N$65)</f>
        <v>2035971.1192387196</v>
      </c>
      <c r="AF6" s="380">
        <f t="shared" ref="AF6:AF17" si="6">SUMIF($R$5:$R$65,U6,$M$5:$M$65)</f>
        <v>48</v>
      </c>
      <c r="AG6" s="294">
        <v>1111</v>
      </c>
      <c r="AH6" s="300">
        <f t="shared" ref="AH6:AH17" si="7">SUMIF($R$5:$R$65,AG6,$P$5:$P$65)</f>
        <v>2198861.7724766396</v>
      </c>
      <c r="AI6" s="380">
        <f t="shared" ref="AI6:AI14" si="8">SUMIF($R$5:$R$65,U6,$O$5:$O$65)</f>
        <v>52</v>
      </c>
      <c r="AJ6" s="294" t="s">
        <v>259</v>
      </c>
      <c r="AL6" s="302">
        <f>1.02*1.02</f>
        <v>1.0404</v>
      </c>
      <c r="AO6" s="300"/>
      <c r="AR6" s="300"/>
      <c r="AU6" s="300"/>
      <c r="AX6" s="300"/>
      <c r="BA6" s="300"/>
    </row>
    <row r="7" spans="1:53" x14ac:dyDescent="0.15">
      <c r="B7" s="294" t="s">
        <v>334</v>
      </c>
      <c r="C7" s="294" t="s">
        <v>351</v>
      </c>
      <c r="D7" s="300">
        <v>91800</v>
      </c>
      <c r="F7" s="300"/>
      <c r="G7" s="295">
        <v>1</v>
      </c>
      <c r="H7" s="163">
        <f>G7*D7</f>
        <v>91800</v>
      </c>
      <c r="I7" s="315">
        <v>1</v>
      </c>
      <c r="J7" s="163">
        <f>H7*I7*$AL$5</f>
        <v>93636</v>
      </c>
      <c r="K7" s="315">
        <v>1</v>
      </c>
      <c r="L7" s="301">
        <f>D7*K7*$AL$6</f>
        <v>95508.72</v>
      </c>
      <c r="M7" s="315">
        <v>1</v>
      </c>
      <c r="N7" s="163">
        <f>L7*AL5</f>
        <v>97418.894400000005</v>
      </c>
      <c r="O7" s="315">
        <v>1</v>
      </c>
      <c r="P7" s="163">
        <f>N7*AL5</f>
        <v>99367.272288000007</v>
      </c>
      <c r="Q7" s="163">
        <v>212</v>
      </c>
      <c r="R7" s="294">
        <v>2411</v>
      </c>
      <c r="S7" s="294">
        <v>6111</v>
      </c>
      <c r="U7" s="378">
        <v>1221</v>
      </c>
      <c r="V7" s="300">
        <f>SUMIF($R$5:$R$64,U7,$H$5:$H$64)</f>
        <v>102630</v>
      </c>
      <c r="W7" s="380">
        <f t="shared" si="0"/>
        <v>2</v>
      </c>
      <c r="X7" s="378">
        <v>1221</v>
      </c>
      <c r="Y7" s="300">
        <f t="shared" si="1"/>
        <v>104682.6</v>
      </c>
      <c r="Z7" s="389">
        <f t="shared" si="2"/>
        <v>2</v>
      </c>
      <c r="AA7" s="378">
        <v>1221</v>
      </c>
      <c r="AB7" s="300">
        <f t="shared" si="3"/>
        <v>161397.25199999998</v>
      </c>
      <c r="AC7" s="380">
        <f t="shared" si="4"/>
        <v>3</v>
      </c>
      <c r="AD7" s="378">
        <v>1221</v>
      </c>
      <c r="AE7" s="300">
        <f t="shared" si="5"/>
        <v>220338.61703999998</v>
      </c>
      <c r="AF7" s="380">
        <f t="shared" si="6"/>
        <v>4</v>
      </c>
      <c r="AG7" s="294">
        <v>1221</v>
      </c>
      <c r="AH7" s="300">
        <f t="shared" si="7"/>
        <v>224514.82400000002</v>
      </c>
      <c r="AI7" s="380">
        <f t="shared" si="8"/>
        <v>4</v>
      </c>
      <c r="AJ7" s="294" t="s">
        <v>260</v>
      </c>
      <c r="AL7" s="302">
        <f>1.02*1.02*1.02</f>
        <v>1.0612079999999999</v>
      </c>
      <c r="AO7" s="300"/>
      <c r="AR7" s="300"/>
      <c r="AU7" s="300"/>
      <c r="AX7" s="300"/>
      <c r="BA7" s="300"/>
    </row>
    <row r="8" spans="1:53" x14ac:dyDescent="0.15">
      <c r="B8" s="294" t="s">
        <v>341</v>
      </c>
      <c r="C8" s="294" t="s">
        <v>352</v>
      </c>
      <c r="D8" s="300">
        <v>75000</v>
      </c>
      <c r="F8" s="300"/>
      <c r="G8" s="295">
        <v>1</v>
      </c>
      <c r="H8" s="163">
        <f>G8*D8</f>
        <v>75000</v>
      </c>
      <c r="I8" s="315">
        <v>1</v>
      </c>
      <c r="J8" s="163">
        <v>80000</v>
      </c>
      <c r="K8" s="315">
        <v>1</v>
      </c>
      <c r="L8" s="301">
        <f>J8*K8*$AL$6</f>
        <v>83232</v>
      </c>
      <c r="M8" s="315">
        <v>1</v>
      </c>
      <c r="N8" s="163">
        <f>L8*AL6</f>
        <v>86594.572799999994</v>
      </c>
      <c r="O8" s="315">
        <v>1</v>
      </c>
      <c r="P8" s="163">
        <f>N8*AL6</f>
        <v>90092.993541119999</v>
      </c>
      <c r="Q8" s="163">
        <v>212</v>
      </c>
      <c r="R8" s="294">
        <v>2111</v>
      </c>
      <c r="S8" s="294">
        <v>6111</v>
      </c>
      <c r="U8" s="378">
        <v>2111</v>
      </c>
      <c r="V8" s="300">
        <f t="shared" ref="V8:V17" si="9">SUMIF($R$5:$R$65,U8,$H$5:$H$65)</f>
        <v>165000</v>
      </c>
      <c r="W8" s="380">
        <f t="shared" si="0"/>
        <v>2</v>
      </c>
      <c r="X8" s="378">
        <v>2111</v>
      </c>
      <c r="Y8" s="300">
        <f t="shared" si="1"/>
        <v>160000</v>
      </c>
      <c r="Z8" s="389">
        <f t="shared" si="2"/>
        <v>2</v>
      </c>
      <c r="AA8" s="378">
        <v>2111</v>
      </c>
      <c r="AB8" s="300">
        <f t="shared" si="3"/>
        <v>166464</v>
      </c>
      <c r="AC8" s="380">
        <f t="shared" si="4"/>
        <v>2</v>
      </c>
      <c r="AD8" s="378">
        <v>2111</v>
      </c>
      <c r="AE8" s="300">
        <f t="shared" si="5"/>
        <v>173189.14559999999</v>
      </c>
      <c r="AF8" s="380">
        <f t="shared" si="6"/>
        <v>2</v>
      </c>
      <c r="AG8" s="294">
        <v>2111</v>
      </c>
      <c r="AH8" s="300">
        <f t="shared" si="7"/>
        <v>180185.98708224</v>
      </c>
      <c r="AI8" s="380">
        <f t="shared" si="8"/>
        <v>2</v>
      </c>
      <c r="AJ8" s="294" t="s">
        <v>261</v>
      </c>
      <c r="AL8" s="302">
        <f>1.02*1.02*1.02*1.02</f>
        <v>1.08243216</v>
      </c>
      <c r="AO8" s="300"/>
      <c r="AR8" s="300"/>
      <c r="AU8" s="300"/>
      <c r="AX8" s="300"/>
      <c r="BA8" s="300"/>
    </row>
    <row r="9" spans="1:53" x14ac:dyDescent="0.15">
      <c r="B9" s="294" t="s">
        <v>342</v>
      </c>
      <c r="C9" s="308" t="s">
        <v>393</v>
      </c>
      <c r="D9" s="300">
        <v>90000</v>
      </c>
      <c r="F9" s="300"/>
      <c r="G9" s="295">
        <v>1</v>
      </c>
      <c r="H9" s="163">
        <f>G9*D9</f>
        <v>90000</v>
      </c>
      <c r="I9" s="315">
        <v>1</v>
      </c>
      <c r="J9" s="163">
        <v>80000</v>
      </c>
      <c r="K9" s="315">
        <v>1</v>
      </c>
      <c r="L9" s="301">
        <f>J9*K9*$AL$6</f>
        <v>83232</v>
      </c>
      <c r="M9" s="315">
        <v>1</v>
      </c>
      <c r="N9" s="163">
        <f>L9*AL6</f>
        <v>86594.572799999994</v>
      </c>
      <c r="O9" s="315">
        <v>1</v>
      </c>
      <c r="P9" s="163">
        <f>N9*AL6</f>
        <v>90092.993541119999</v>
      </c>
      <c r="Q9" s="163">
        <v>212</v>
      </c>
      <c r="R9" s="294">
        <v>2111</v>
      </c>
      <c r="S9" s="294">
        <v>6111</v>
      </c>
      <c r="U9" s="378">
        <v>2321</v>
      </c>
      <c r="V9" s="300">
        <f t="shared" si="9"/>
        <v>165000</v>
      </c>
      <c r="W9" s="380">
        <f t="shared" si="0"/>
        <v>1</v>
      </c>
      <c r="X9" s="378">
        <v>2321</v>
      </c>
      <c r="Y9" s="300">
        <f t="shared" si="1"/>
        <v>170000</v>
      </c>
      <c r="Z9" s="389">
        <f t="shared" si="2"/>
        <v>1</v>
      </c>
      <c r="AA9" s="378">
        <v>2321</v>
      </c>
      <c r="AB9" s="300">
        <f t="shared" si="3"/>
        <v>175000</v>
      </c>
      <c r="AC9" s="380">
        <f t="shared" si="4"/>
        <v>1</v>
      </c>
      <c r="AD9" s="378">
        <v>2321</v>
      </c>
      <c r="AE9" s="300">
        <f t="shared" si="5"/>
        <v>180000</v>
      </c>
      <c r="AF9" s="380">
        <f t="shared" si="6"/>
        <v>1</v>
      </c>
      <c r="AG9" s="294">
        <v>2321</v>
      </c>
      <c r="AH9" s="300">
        <f t="shared" si="7"/>
        <v>185000</v>
      </c>
      <c r="AI9" s="380">
        <f t="shared" si="8"/>
        <v>1</v>
      </c>
      <c r="AJ9" s="294" t="s">
        <v>398</v>
      </c>
      <c r="AL9" s="302">
        <v>1.1000000000000001</v>
      </c>
      <c r="AO9" s="300"/>
      <c r="AR9" s="300"/>
      <c r="AU9" s="300"/>
      <c r="AX9" s="300"/>
      <c r="BA9" s="300"/>
    </row>
    <row r="10" spans="1:53" x14ac:dyDescent="0.15">
      <c r="D10" s="300"/>
      <c r="F10" s="283">
        <f>SUM(F5:F7)</f>
        <v>0</v>
      </c>
      <c r="G10" s="4">
        <f>SUM(G5:G9)</f>
        <v>5</v>
      </c>
      <c r="H10" s="283">
        <f t="shared" ref="H10:P10" si="10">SUM(H5:H9)</f>
        <v>513600</v>
      </c>
      <c r="I10" s="316">
        <f t="shared" si="10"/>
        <v>5</v>
      </c>
      <c r="J10" s="283">
        <f>SUM(J5:J9)</f>
        <v>517272</v>
      </c>
      <c r="K10" s="316">
        <f t="shared" si="10"/>
        <v>5</v>
      </c>
      <c r="L10" s="283">
        <f t="shared" si="10"/>
        <v>532481.43999999994</v>
      </c>
      <c r="M10" s="316">
        <f t="shared" si="10"/>
        <v>5</v>
      </c>
      <c r="N10" s="283">
        <f t="shared" si="10"/>
        <v>548026.93439999991</v>
      </c>
      <c r="O10" s="316">
        <f t="shared" si="10"/>
        <v>5</v>
      </c>
      <c r="P10" s="283">
        <f t="shared" si="10"/>
        <v>563920.5316582399</v>
      </c>
      <c r="Q10" s="283"/>
      <c r="U10" s="378">
        <v>2411</v>
      </c>
      <c r="V10" s="300">
        <f t="shared" si="9"/>
        <v>183600</v>
      </c>
      <c r="W10" s="380">
        <f t="shared" si="0"/>
        <v>2</v>
      </c>
      <c r="X10" s="378">
        <v>2411</v>
      </c>
      <c r="Y10" s="300">
        <f t="shared" si="1"/>
        <v>187272</v>
      </c>
      <c r="Z10" s="389">
        <f t="shared" si="2"/>
        <v>2</v>
      </c>
      <c r="AA10" s="378">
        <v>2411</v>
      </c>
      <c r="AB10" s="300">
        <f t="shared" si="3"/>
        <v>191017.44</v>
      </c>
      <c r="AC10" s="380">
        <f t="shared" si="4"/>
        <v>2</v>
      </c>
      <c r="AD10" s="378">
        <v>2411</v>
      </c>
      <c r="AE10" s="300">
        <f t="shared" si="5"/>
        <v>194837.78880000001</v>
      </c>
      <c r="AF10" s="380">
        <f t="shared" si="6"/>
        <v>2</v>
      </c>
      <c r="AG10" s="294">
        <v>2411</v>
      </c>
      <c r="AH10" s="300">
        <f t="shared" si="7"/>
        <v>198734.54457600001</v>
      </c>
      <c r="AI10" s="380">
        <f t="shared" si="8"/>
        <v>2</v>
      </c>
      <c r="AL10" s="302"/>
      <c r="AO10" s="300"/>
      <c r="AR10" s="300"/>
      <c r="AU10" s="300"/>
      <c r="AX10" s="300"/>
      <c r="BA10" s="300"/>
    </row>
    <row r="11" spans="1:53" x14ac:dyDescent="0.15">
      <c r="A11" s="282"/>
      <c r="D11" s="300"/>
      <c r="H11" s="164"/>
      <c r="I11" s="315"/>
      <c r="J11" s="164"/>
      <c r="K11" s="317"/>
      <c r="L11" s="164"/>
      <c r="M11" s="317"/>
      <c r="N11" s="164"/>
      <c r="O11" s="315"/>
      <c r="P11" s="164"/>
      <c r="Q11" s="164"/>
      <c r="U11" s="378">
        <v>2511</v>
      </c>
      <c r="V11" s="300">
        <f t="shared" si="9"/>
        <v>0</v>
      </c>
      <c r="W11" s="380">
        <f t="shared" si="0"/>
        <v>0</v>
      </c>
      <c r="X11" s="378">
        <v>2511</v>
      </c>
      <c r="Y11" s="300">
        <f t="shared" si="1"/>
        <v>0</v>
      </c>
      <c r="Z11" s="389">
        <f t="shared" si="2"/>
        <v>0</v>
      </c>
      <c r="AA11" s="378">
        <v>2511</v>
      </c>
      <c r="AB11" s="300">
        <f t="shared" si="3"/>
        <v>0</v>
      </c>
      <c r="AC11" s="380">
        <f t="shared" si="4"/>
        <v>0</v>
      </c>
      <c r="AD11" s="378">
        <v>2511</v>
      </c>
      <c r="AE11" s="300">
        <f t="shared" si="5"/>
        <v>0</v>
      </c>
      <c r="AF11" s="380">
        <f t="shared" si="6"/>
        <v>0</v>
      </c>
      <c r="AG11" s="294">
        <v>2511</v>
      </c>
      <c r="AH11" s="300">
        <f t="shared" si="7"/>
        <v>0</v>
      </c>
      <c r="AI11" s="380">
        <f t="shared" si="8"/>
        <v>0</v>
      </c>
      <c r="AL11" s="302"/>
      <c r="AO11" s="300"/>
      <c r="AR11" s="300"/>
      <c r="AU11" s="300"/>
      <c r="AX11" s="300"/>
      <c r="BA11" s="300"/>
    </row>
    <row r="12" spans="1:53" x14ac:dyDescent="0.15">
      <c r="D12" s="300"/>
      <c r="H12" s="164"/>
      <c r="I12" s="315"/>
      <c r="J12" s="164"/>
      <c r="K12" s="317"/>
      <c r="L12" s="164"/>
      <c r="M12" s="317"/>
      <c r="N12" s="164"/>
      <c r="O12" s="315"/>
      <c r="P12" s="164"/>
      <c r="Q12" s="164"/>
      <c r="U12" s="378">
        <v>2541</v>
      </c>
      <c r="V12" s="300">
        <f t="shared" si="9"/>
        <v>95000</v>
      </c>
      <c r="W12" s="380">
        <f t="shared" si="0"/>
        <v>2</v>
      </c>
      <c r="X12" s="378">
        <v>2541</v>
      </c>
      <c r="Y12" s="300">
        <f t="shared" si="1"/>
        <v>181087.46</v>
      </c>
      <c r="Z12" s="389">
        <f t="shared" si="2"/>
        <v>4</v>
      </c>
      <c r="AA12" s="378">
        <v>2541</v>
      </c>
      <c r="AB12" s="300">
        <f t="shared" si="3"/>
        <v>184709.20919999998</v>
      </c>
      <c r="AC12" s="380">
        <f t="shared" si="4"/>
        <v>4</v>
      </c>
      <c r="AD12" s="378">
        <v>2541</v>
      </c>
      <c r="AE12" s="300">
        <f t="shared" si="5"/>
        <v>188403.393384</v>
      </c>
      <c r="AF12" s="380">
        <f t="shared" si="6"/>
        <v>4</v>
      </c>
      <c r="AG12" s="294">
        <v>2541</v>
      </c>
      <c r="AH12" s="300">
        <f t="shared" si="7"/>
        <v>192171.46125168001</v>
      </c>
      <c r="AI12" s="380">
        <f t="shared" si="8"/>
        <v>4</v>
      </c>
      <c r="AL12" s="302"/>
      <c r="AO12" s="300"/>
      <c r="AR12" s="300"/>
      <c r="AU12" s="300"/>
      <c r="AX12" s="300"/>
      <c r="BA12" s="300"/>
    </row>
    <row r="13" spans="1:53" x14ac:dyDescent="0.15">
      <c r="A13" s="282" t="s">
        <v>254</v>
      </c>
      <c r="D13" s="300"/>
      <c r="H13" s="164"/>
      <c r="I13" s="315"/>
      <c r="J13" s="164"/>
      <c r="K13" s="317"/>
      <c r="L13" s="301"/>
      <c r="M13" s="317"/>
      <c r="N13" s="301"/>
      <c r="O13" s="315"/>
      <c r="P13" s="301"/>
      <c r="Q13" s="301"/>
      <c r="U13" s="378">
        <v>2563</v>
      </c>
      <c r="V13" s="300">
        <f t="shared" si="9"/>
        <v>0</v>
      </c>
      <c r="W13" s="380">
        <f t="shared" si="0"/>
        <v>0</v>
      </c>
      <c r="X13" s="378">
        <v>2563</v>
      </c>
      <c r="Y13" s="300">
        <f t="shared" si="1"/>
        <v>0</v>
      </c>
      <c r="Z13" s="389">
        <f t="shared" si="2"/>
        <v>0</v>
      </c>
      <c r="AA13" s="378">
        <v>2563</v>
      </c>
      <c r="AB13" s="300">
        <f t="shared" si="3"/>
        <v>0</v>
      </c>
      <c r="AC13" s="380">
        <f t="shared" si="4"/>
        <v>0</v>
      </c>
      <c r="AD13" s="378">
        <v>2563</v>
      </c>
      <c r="AE13" s="300">
        <f t="shared" si="5"/>
        <v>0</v>
      </c>
      <c r="AF13" s="380">
        <f t="shared" si="6"/>
        <v>0</v>
      </c>
      <c r="AG13" s="294">
        <v>2563</v>
      </c>
      <c r="AH13" s="300">
        <f t="shared" si="7"/>
        <v>0</v>
      </c>
      <c r="AI13" s="380">
        <f t="shared" si="8"/>
        <v>0</v>
      </c>
      <c r="AL13" s="302"/>
      <c r="AO13" s="300"/>
      <c r="AR13" s="300"/>
      <c r="AU13" s="300"/>
      <c r="AX13" s="300"/>
      <c r="BA13" s="300"/>
    </row>
    <row r="14" spans="1:53" x14ac:dyDescent="0.15">
      <c r="A14" s="282"/>
      <c r="B14" s="294" t="s">
        <v>439</v>
      </c>
      <c r="C14" s="393" t="s">
        <v>457</v>
      </c>
      <c r="D14" s="300">
        <v>53779</v>
      </c>
      <c r="G14" s="314">
        <v>1</v>
      </c>
      <c r="H14" s="164">
        <f>D14*G14</f>
        <v>53779</v>
      </c>
      <c r="I14" s="318">
        <v>1</v>
      </c>
      <c r="J14" s="164">
        <f>D14*I14*$AL$5</f>
        <v>54854.58</v>
      </c>
      <c r="K14" s="315">
        <v>1</v>
      </c>
      <c r="L14" s="301">
        <f>D14*K14*$AL$6</f>
        <v>55951.671600000001</v>
      </c>
      <c r="M14" s="315">
        <v>1</v>
      </c>
      <c r="N14" s="301">
        <f>D14*M14*$AL$7</f>
        <v>57070.705031999998</v>
      </c>
      <c r="O14" s="315">
        <v>1</v>
      </c>
      <c r="P14" s="301">
        <f>D14*O14*AL8</f>
        <v>58212.11913264</v>
      </c>
      <c r="Q14" s="301">
        <v>212</v>
      </c>
      <c r="R14" s="294">
        <v>1111</v>
      </c>
      <c r="S14" s="294">
        <v>6111</v>
      </c>
      <c r="U14" s="378">
        <v>2661</v>
      </c>
      <c r="V14" s="300">
        <f t="shared" si="9"/>
        <v>0</v>
      </c>
      <c r="W14" s="380">
        <f t="shared" si="0"/>
        <v>0</v>
      </c>
      <c r="X14" s="378">
        <v>2661</v>
      </c>
      <c r="Y14" s="300">
        <f t="shared" si="1"/>
        <v>0</v>
      </c>
      <c r="Z14" s="389">
        <f t="shared" si="2"/>
        <v>0</v>
      </c>
      <c r="AA14" s="378">
        <v>2661</v>
      </c>
      <c r="AB14" s="300">
        <f t="shared" si="3"/>
        <v>0</v>
      </c>
      <c r="AC14" s="380">
        <f t="shared" si="4"/>
        <v>0</v>
      </c>
      <c r="AD14" s="378">
        <v>2661</v>
      </c>
      <c r="AE14" s="300">
        <f t="shared" si="5"/>
        <v>0</v>
      </c>
      <c r="AF14" s="380">
        <f t="shared" si="6"/>
        <v>0</v>
      </c>
      <c r="AG14" s="294">
        <v>2661</v>
      </c>
      <c r="AH14" s="300">
        <f t="shared" si="7"/>
        <v>0</v>
      </c>
      <c r="AI14" s="380">
        <f t="shared" si="8"/>
        <v>0</v>
      </c>
      <c r="AL14" s="302"/>
      <c r="AO14" s="300"/>
      <c r="AR14" s="300"/>
      <c r="AU14" s="300"/>
      <c r="AX14" s="300"/>
      <c r="BA14" s="300"/>
    </row>
    <row r="15" spans="1:53" x14ac:dyDescent="0.15">
      <c r="A15" s="282"/>
      <c r="B15" s="294" t="s">
        <v>439</v>
      </c>
      <c r="C15" s="294" t="s">
        <v>354</v>
      </c>
      <c r="D15" s="300">
        <v>47754</v>
      </c>
      <c r="G15" s="314">
        <v>1</v>
      </c>
      <c r="H15" s="164">
        <f>D15*G15*AL5</f>
        <v>48709.08</v>
      </c>
      <c r="I15" s="315">
        <v>1</v>
      </c>
      <c r="J15" s="164">
        <f>D15*I15*$AL$6</f>
        <v>49683.261599999998</v>
      </c>
      <c r="K15" s="315">
        <v>1</v>
      </c>
      <c r="L15" s="301">
        <f>D15*K15*$AL$7</f>
        <v>50676.926831999997</v>
      </c>
      <c r="M15" s="315">
        <v>1</v>
      </c>
      <c r="N15" s="301">
        <f>D15*M15*$AL$8</f>
        <v>51690.465368639998</v>
      </c>
      <c r="O15" s="315">
        <v>1</v>
      </c>
      <c r="P15" s="301">
        <f>D15*O15*AL9</f>
        <v>52529.4</v>
      </c>
      <c r="Q15" s="301">
        <v>212</v>
      </c>
      <c r="R15" s="294">
        <v>1111</v>
      </c>
      <c r="S15" s="294">
        <v>6111</v>
      </c>
      <c r="U15" s="378">
        <v>3812</v>
      </c>
      <c r="V15" s="300">
        <f t="shared" si="9"/>
        <v>0</v>
      </c>
      <c r="W15" s="380">
        <f t="shared" si="0"/>
        <v>0</v>
      </c>
      <c r="X15" s="378">
        <v>3812</v>
      </c>
      <c r="Y15" s="300">
        <f t="shared" si="1"/>
        <v>0</v>
      </c>
      <c r="Z15" s="389">
        <f t="shared" si="2"/>
        <v>0</v>
      </c>
      <c r="AA15" s="378">
        <v>3812</v>
      </c>
      <c r="AB15" s="300">
        <f t="shared" si="3"/>
        <v>0</v>
      </c>
      <c r="AC15" s="380">
        <f t="shared" si="4"/>
        <v>0</v>
      </c>
      <c r="AD15" s="378">
        <v>3812</v>
      </c>
      <c r="AE15" s="300">
        <f t="shared" si="5"/>
        <v>0</v>
      </c>
      <c r="AF15" s="380">
        <f t="shared" si="6"/>
        <v>0</v>
      </c>
      <c r="AG15" s="294">
        <v>3812</v>
      </c>
      <c r="AH15" s="300">
        <f t="shared" si="7"/>
        <v>0</v>
      </c>
      <c r="AI15" s="380"/>
      <c r="AL15" s="302"/>
      <c r="AO15" s="300"/>
      <c r="AR15" s="300"/>
      <c r="AU15" s="300"/>
      <c r="AX15" s="300"/>
      <c r="BA15" s="300"/>
    </row>
    <row r="16" spans="1:53" x14ac:dyDescent="0.15">
      <c r="A16" s="282"/>
      <c r="B16" s="294" t="s">
        <v>439</v>
      </c>
      <c r="C16" s="294" t="s">
        <v>366</v>
      </c>
      <c r="D16" s="300">
        <v>65557</v>
      </c>
      <c r="G16" s="314">
        <v>1</v>
      </c>
      <c r="H16" s="164">
        <f>D16*G16*AL5</f>
        <v>66868.14</v>
      </c>
      <c r="I16" s="315">
        <v>1</v>
      </c>
      <c r="J16" s="164">
        <f>D16*I16*AL6</f>
        <v>68205.502800000002</v>
      </c>
      <c r="K16" s="315">
        <v>1</v>
      </c>
      <c r="L16" s="301">
        <f>D16*K16*AL7</f>
        <v>69569.612855999992</v>
      </c>
      <c r="M16" s="315">
        <v>1</v>
      </c>
      <c r="N16" s="301">
        <f>D16*M16*AL8</f>
        <v>70961.005113120002</v>
      </c>
      <c r="O16" s="315">
        <v>1</v>
      </c>
      <c r="P16" s="301">
        <f>D16*O16*AL9</f>
        <v>72112.700000000012</v>
      </c>
      <c r="Q16" s="301">
        <v>212</v>
      </c>
      <c r="R16" s="294">
        <v>1111</v>
      </c>
      <c r="S16" s="294">
        <v>6111</v>
      </c>
      <c r="U16" s="378">
        <v>2113</v>
      </c>
      <c r="V16" s="300">
        <f t="shared" si="9"/>
        <v>53229</v>
      </c>
      <c r="W16" s="380">
        <f t="shared" si="0"/>
        <v>1</v>
      </c>
      <c r="X16" s="378">
        <v>2113</v>
      </c>
      <c r="Y16" s="300">
        <f t="shared" si="1"/>
        <v>54293.58</v>
      </c>
      <c r="Z16" s="389">
        <f t="shared" si="2"/>
        <v>1</v>
      </c>
      <c r="AA16" s="378">
        <v>2113</v>
      </c>
      <c r="AB16" s="300">
        <f t="shared" si="3"/>
        <v>55379.4516</v>
      </c>
      <c r="AC16" s="380">
        <f t="shared" si="4"/>
        <v>1</v>
      </c>
      <c r="AD16" s="378">
        <v>2113</v>
      </c>
      <c r="AE16" s="300">
        <f t="shared" si="5"/>
        <v>56487.040631999997</v>
      </c>
      <c r="AF16" s="380">
        <f t="shared" si="6"/>
        <v>1</v>
      </c>
      <c r="AG16" s="294">
        <v>2113</v>
      </c>
      <c r="AH16" s="300">
        <f t="shared" si="7"/>
        <v>57616.781444640001</v>
      </c>
      <c r="AI16" s="380">
        <v>1</v>
      </c>
      <c r="AL16" s="302"/>
      <c r="AO16" s="300"/>
      <c r="AR16" s="300"/>
      <c r="AU16" s="300"/>
      <c r="AX16" s="300"/>
      <c r="BA16" s="300"/>
    </row>
    <row r="17" spans="1:54" x14ac:dyDescent="0.15">
      <c r="A17" s="282"/>
      <c r="B17" s="294" t="s">
        <v>249</v>
      </c>
      <c r="C17" s="294" t="s">
        <v>384</v>
      </c>
      <c r="D17" s="300">
        <v>48223</v>
      </c>
      <c r="G17" s="314">
        <v>1</v>
      </c>
      <c r="H17" s="164">
        <f>D17*G17*AL5</f>
        <v>49187.46</v>
      </c>
      <c r="I17" s="315">
        <v>1</v>
      </c>
      <c r="J17" s="164">
        <f>D17*I17*$AL$6</f>
        <v>50171.209199999998</v>
      </c>
      <c r="K17" s="315">
        <v>1</v>
      </c>
      <c r="L17" s="301">
        <f>D17*K17*$AL$7</f>
        <v>51174.633383999993</v>
      </c>
      <c r="M17" s="315">
        <v>1</v>
      </c>
      <c r="N17" s="301">
        <f>D17*M17*$AL$8</f>
        <v>52198.126051679996</v>
      </c>
      <c r="O17" s="315">
        <v>1</v>
      </c>
      <c r="P17" s="301">
        <f>D17*O18*AL9</f>
        <v>53045.3</v>
      </c>
      <c r="Q17" s="301">
        <v>212</v>
      </c>
      <c r="R17" s="294">
        <v>1111</v>
      </c>
      <c r="S17" s="294">
        <v>6111</v>
      </c>
      <c r="U17" s="378">
        <v>2134</v>
      </c>
      <c r="V17" s="294">
        <f t="shared" si="9"/>
        <v>0</v>
      </c>
      <c r="W17" s="379">
        <f t="shared" si="0"/>
        <v>0</v>
      </c>
      <c r="X17" s="378">
        <v>2134</v>
      </c>
      <c r="Y17" s="387">
        <f t="shared" si="1"/>
        <v>45000</v>
      </c>
      <c r="Z17" s="388">
        <f t="shared" si="2"/>
        <v>1</v>
      </c>
      <c r="AA17" s="378">
        <v>2134</v>
      </c>
      <c r="AB17" s="387">
        <f t="shared" si="3"/>
        <v>45900</v>
      </c>
      <c r="AC17" s="379">
        <f t="shared" si="4"/>
        <v>1</v>
      </c>
      <c r="AD17" s="378">
        <v>2134</v>
      </c>
      <c r="AE17" s="387">
        <f t="shared" si="5"/>
        <v>46818</v>
      </c>
      <c r="AF17" s="379">
        <f t="shared" si="6"/>
        <v>1</v>
      </c>
      <c r="AG17" s="294">
        <v>2134</v>
      </c>
      <c r="AH17" s="387">
        <f t="shared" si="7"/>
        <v>47754.359999999993</v>
      </c>
      <c r="AI17" s="379">
        <v>1</v>
      </c>
      <c r="AL17" s="302"/>
      <c r="AO17" s="300"/>
      <c r="AR17" s="300"/>
      <c r="AU17" s="300"/>
      <c r="AX17" s="300"/>
      <c r="BA17" s="300"/>
    </row>
    <row r="18" spans="1:54" ht="15" thickBot="1" x14ac:dyDescent="0.2">
      <c r="A18" s="282"/>
      <c r="B18" s="294" t="s">
        <v>249</v>
      </c>
      <c r="C18" s="308" t="s">
        <v>396</v>
      </c>
      <c r="D18" s="300">
        <v>48223</v>
      </c>
      <c r="G18" s="314">
        <v>1</v>
      </c>
      <c r="H18" s="164">
        <f>D18*G18</f>
        <v>48223</v>
      </c>
      <c r="I18" s="315">
        <v>1</v>
      </c>
      <c r="J18" s="164">
        <f>D18*I18*$AL$5</f>
        <v>49187.46</v>
      </c>
      <c r="K18" s="315">
        <v>1</v>
      </c>
      <c r="L18" s="301">
        <f>D18*K18*$AL$7</f>
        <v>51174.633383999993</v>
      </c>
      <c r="M18" s="315">
        <v>1</v>
      </c>
      <c r="N18" s="301">
        <f>D18*M18*$AL$8</f>
        <v>52198.126051679996</v>
      </c>
      <c r="O18" s="315">
        <v>1</v>
      </c>
      <c r="P18" s="301">
        <f>D18*O18*AL9</f>
        <v>53045.3</v>
      </c>
      <c r="Q18" s="301">
        <v>212</v>
      </c>
      <c r="R18" s="294">
        <v>1111</v>
      </c>
      <c r="S18" s="294">
        <v>6111</v>
      </c>
      <c r="U18" s="381" t="s">
        <v>427</v>
      </c>
      <c r="V18" s="382">
        <f>SUM(V4:V17)</f>
        <v>1869673.3800000001</v>
      </c>
      <c r="W18" s="383">
        <f>SUM(W4:W17)</f>
        <v>35</v>
      </c>
      <c r="X18" s="384"/>
      <c r="Y18" s="382">
        <f>SUM(Y4:Y17)</f>
        <v>2211754.3076000004</v>
      </c>
      <c r="Z18" s="390">
        <f>SUM(Z4:Z17)</f>
        <v>45</v>
      </c>
      <c r="AA18" s="384"/>
      <c r="AB18" s="382">
        <f>SUM(AB4:AB17)</f>
        <v>2602702.0579359997</v>
      </c>
      <c r="AC18" s="383">
        <f>SUM(AC4:AC17)</f>
        <v>53</v>
      </c>
      <c r="AD18" s="384"/>
      <c r="AE18" s="382">
        <f>SUM(AE4:AE17)</f>
        <v>3096045.1046947199</v>
      </c>
      <c r="AF18" s="383">
        <f>SUM(AF4:AF17)</f>
        <v>63</v>
      </c>
      <c r="AG18" s="382"/>
      <c r="AH18" s="382">
        <f>SUM(AH4:AH17)</f>
        <v>3284839.7308311993</v>
      </c>
      <c r="AI18" s="383">
        <f>SUM(AI4:AI17)</f>
        <v>67</v>
      </c>
      <c r="AO18" s="300"/>
    </row>
    <row r="19" spans="1:54" x14ac:dyDescent="0.15">
      <c r="A19" s="393"/>
      <c r="B19" s="294" t="s">
        <v>249</v>
      </c>
      <c r="C19" s="393" t="s">
        <v>438</v>
      </c>
      <c r="D19" s="300">
        <v>45000</v>
      </c>
      <c r="G19" s="314">
        <v>1</v>
      </c>
      <c r="H19" s="164">
        <f>D19*G19</f>
        <v>45000</v>
      </c>
      <c r="I19" s="315">
        <v>1</v>
      </c>
      <c r="J19" s="164">
        <f>D19*I19*AL5</f>
        <v>45900</v>
      </c>
      <c r="K19" s="315">
        <v>1</v>
      </c>
      <c r="L19" s="301">
        <f>D19*K19*AL6</f>
        <v>46818</v>
      </c>
      <c r="M19" s="315">
        <v>1</v>
      </c>
      <c r="N19" s="301">
        <f>D19*M19*AL7</f>
        <v>47754.359999999993</v>
      </c>
      <c r="O19" s="315">
        <v>1</v>
      </c>
      <c r="P19" s="301">
        <f>D19*O19*AL8</f>
        <v>48709.447200000002</v>
      </c>
      <c r="Q19" s="301">
        <v>212</v>
      </c>
      <c r="R19" s="294">
        <v>1111</v>
      </c>
      <c r="S19" s="294">
        <v>6111</v>
      </c>
      <c r="AO19" s="300"/>
    </row>
    <row r="20" spans="1:54" x14ac:dyDescent="0.15">
      <c r="A20" s="282"/>
      <c r="B20" s="294" t="s">
        <v>250</v>
      </c>
      <c r="C20" s="393" t="s">
        <v>453</v>
      </c>
      <c r="D20" s="300">
        <v>65557</v>
      </c>
      <c r="G20" s="314">
        <v>1</v>
      </c>
      <c r="H20" s="164">
        <f>D20*G20*AL5</f>
        <v>66868.14</v>
      </c>
      <c r="I20" s="315">
        <v>1</v>
      </c>
      <c r="J20" s="164">
        <f>D20*I20*AL6</f>
        <v>68205.502800000002</v>
      </c>
      <c r="K20" s="315">
        <v>1</v>
      </c>
      <c r="L20" s="301">
        <f>D20*K20*$AL$7</f>
        <v>69569.612855999992</v>
      </c>
      <c r="M20" s="315">
        <v>1</v>
      </c>
      <c r="N20" s="301">
        <f>D20*M20*$AL$8</f>
        <v>70961.005113120002</v>
      </c>
      <c r="O20" s="315">
        <v>1</v>
      </c>
      <c r="P20" s="301">
        <f>D20*O20*AL9</f>
        <v>72112.700000000012</v>
      </c>
      <c r="Q20" s="301">
        <v>212</v>
      </c>
      <c r="R20" s="294">
        <v>1111</v>
      </c>
      <c r="S20" s="294">
        <v>6111</v>
      </c>
      <c r="U20" s="294">
        <v>2100</v>
      </c>
      <c r="V20" s="300">
        <f>SUM(V8,V16,V17)</f>
        <v>218229</v>
      </c>
      <c r="W20" s="307">
        <f>SUM(W8,W16,W17)</f>
        <v>3</v>
      </c>
      <c r="X20" s="395">
        <v>2100</v>
      </c>
      <c r="Y20" s="300">
        <f>SUM(Y8,Y16,Y17)</f>
        <v>259293.58000000002</v>
      </c>
      <c r="Z20" s="391">
        <f>SUM(Z8,Z16,Z17,)</f>
        <v>4</v>
      </c>
      <c r="AA20" s="395">
        <v>2100</v>
      </c>
      <c r="AB20" s="300">
        <f>SUM(AB8,AB16,AB17)</f>
        <v>267743.45160000003</v>
      </c>
      <c r="AC20" s="307">
        <f>SUM(AC8,AC16,AC17)</f>
        <v>4</v>
      </c>
      <c r="AD20" s="395">
        <v>2100</v>
      </c>
      <c r="AE20" s="300">
        <f>SUM(AE8,AE16,AE17)</f>
        <v>276494.18623200001</v>
      </c>
      <c r="AF20" s="307">
        <f>SUM(AF8,AF16,AF17)</f>
        <v>4</v>
      </c>
      <c r="AG20" s="395">
        <v>2100</v>
      </c>
      <c r="AH20" s="300">
        <f>SUM(AH8,AH16,AH17)</f>
        <v>285557.12852688</v>
      </c>
      <c r="AI20" s="307">
        <f>SUM(AI8,AI16,AI17)</f>
        <v>4</v>
      </c>
      <c r="AO20" s="300"/>
    </row>
    <row r="21" spans="1:54" x14ac:dyDescent="0.15">
      <c r="A21" s="282"/>
      <c r="B21" s="294" t="s">
        <v>250</v>
      </c>
      <c r="C21" s="393" t="s">
        <v>454</v>
      </c>
      <c r="D21" s="300">
        <v>45900</v>
      </c>
      <c r="G21" s="314">
        <v>1</v>
      </c>
      <c r="H21" s="164">
        <f t="shared" ref="H21:H34" si="11">D21*G21</f>
        <v>45900</v>
      </c>
      <c r="I21" s="315">
        <v>1</v>
      </c>
      <c r="J21" s="164">
        <f>D21*I21*AL5</f>
        <v>46818</v>
      </c>
      <c r="K21" s="315">
        <v>1</v>
      </c>
      <c r="L21" s="301">
        <f>D21*K21*$AL$6</f>
        <v>47754.36</v>
      </c>
      <c r="M21" s="315">
        <v>1</v>
      </c>
      <c r="N21" s="301">
        <f>D21*M21*$AL$7</f>
        <v>48709.447199999995</v>
      </c>
      <c r="O21" s="315">
        <v>1</v>
      </c>
      <c r="P21" s="301">
        <f>D21*O21*AL8</f>
        <v>49683.636143999996</v>
      </c>
      <c r="Q21" s="301">
        <v>212</v>
      </c>
      <c r="R21" s="294">
        <v>1111</v>
      </c>
      <c r="S21" s="294">
        <v>6111</v>
      </c>
      <c r="V21" s="300"/>
      <c r="W21" s="307"/>
      <c r="X21" s="300"/>
      <c r="Y21" s="300"/>
      <c r="Z21" s="391"/>
      <c r="AA21" s="300"/>
      <c r="AB21" s="300"/>
      <c r="AC21" s="307"/>
      <c r="AD21" s="300"/>
      <c r="AE21" s="300"/>
      <c r="AF21" s="307"/>
      <c r="AG21" s="300"/>
      <c r="AH21" s="300"/>
      <c r="AI21" s="307"/>
      <c r="AO21" s="300"/>
    </row>
    <row r="22" spans="1:54" x14ac:dyDescent="0.15">
      <c r="A22" s="282"/>
      <c r="B22" s="294" t="s">
        <v>250</v>
      </c>
      <c r="C22" s="303"/>
      <c r="D22" s="300">
        <v>52500</v>
      </c>
      <c r="G22" s="314">
        <v>0</v>
      </c>
      <c r="H22" s="164">
        <f t="shared" si="11"/>
        <v>0</v>
      </c>
      <c r="I22" s="315">
        <v>1</v>
      </c>
      <c r="J22" s="164">
        <f>D22*I22</f>
        <v>52500</v>
      </c>
      <c r="K22" s="315">
        <v>1</v>
      </c>
      <c r="L22" s="301">
        <f>D22*K22*$AL$5</f>
        <v>53550</v>
      </c>
      <c r="M22" s="315">
        <v>1</v>
      </c>
      <c r="N22" s="301">
        <f>D22*M22*$AL$6</f>
        <v>54621</v>
      </c>
      <c r="O22" s="315">
        <v>1</v>
      </c>
      <c r="P22" s="301">
        <f>D22*O22*$AL$7</f>
        <v>55713.42</v>
      </c>
      <c r="Q22" s="301">
        <v>212</v>
      </c>
      <c r="R22" s="294">
        <v>1111</v>
      </c>
      <c r="S22" s="294">
        <v>6111</v>
      </c>
      <c r="V22" s="300"/>
      <c r="W22" s="307"/>
      <c r="X22" s="300"/>
      <c r="Y22" s="300"/>
      <c r="Z22" s="391"/>
      <c r="AA22" s="300"/>
      <c r="AB22" s="300"/>
      <c r="AC22" s="307"/>
      <c r="AD22" s="300"/>
      <c r="AE22" s="300"/>
      <c r="AF22" s="307"/>
      <c r="AG22" s="300"/>
      <c r="AH22" s="300"/>
      <c r="AI22" s="307"/>
      <c r="AL22" s="302"/>
      <c r="AO22" s="300"/>
      <c r="AR22" s="300"/>
      <c r="AS22" s="304"/>
      <c r="AU22" s="300"/>
      <c r="AV22" s="300"/>
      <c r="AX22" s="300"/>
      <c r="AY22" s="305"/>
      <c r="BA22" s="300"/>
      <c r="BB22" s="306"/>
    </row>
    <row r="23" spans="1:54" x14ac:dyDescent="0.15">
      <c r="A23" s="282"/>
      <c r="B23" s="294" t="s">
        <v>251</v>
      </c>
      <c r="C23" s="303"/>
      <c r="D23" s="300">
        <v>52500</v>
      </c>
      <c r="G23" s="314">
        <v>0</v>
      </c>
      <c r="H23" s="164">
        <f t="shared" si="11"/>
        <v>0</v>
      </c>
      <c r="I23" s="315">
        <v>2</v>
      </c>
      <c r="J23" s="164">
        <f>D23*I23</f>
        <v>105000</v>
      </c>
      <c r="K23" s="315">
        <v>3</v>
      </c>
      <c r="L23" s="301">
        <f>D23*K23*AL5</f>
        <v>160650</v>
      </c>
      <c r="M23" s="315">
        <v>3</v>
      </c>
      <c r="N23" s="301">
        <f>D23*M23*$AL$6</f>
        <v>163863</v>
      </c>
      <c r="O23" s="315">
        <v>3</v>
      </c>
      <c r="P23" s="301">
        <f>D23*O23*$AL$7</f>
        <v>167140.25999999998</v>
      </c>
      <c r="Q23" s="301">
        <v>212</v>
      </c>
      <c r="R23" s="294">
        <v>1111</v>
      </c>
      <c r="S23" s="294">
        <v>6111</v>
      </c>
      <c r="V23" s="300"/>
      <c r="W23" s="307"/>
      <c r="X23" s="300"/>
      <c r="Y23" s="300"/>
      <c r="Z23" s="391"/>
      <c r="AA23" s="300"/>
      <c r="AB23" s="300"/>
      <c r="AC23" s="307"/>
      <c r="AD23" s="300"/>
      <c r="AE23" s="300"/>
      <c r="AF23" s="307"/>
      <c r="AG23" s="300"/>
      <c r="AH23" s="300"/>
      <c r="AI23" s="307"/>
      <c r="AL23" s="302"/>
    </row>
    <row r="24" spans="1:54" x14ac:dyDescent="0.15">
      <c r="A24" s="282"/>
      <c r="B24" s="294" t="s">
        <v>252</v>
      </c>
      <c r="C24" s="303"/>
      <c r="D24" s="300">
        <v>52500</v>
      </c>
      <c r="G24" s="314">
        <v>0</v>
      </c>
      <c r="H24" s="164">
        <f t="shared" si="11"/>
        <v>0</v>
      </c>
      <c r="I24" s="315">
        <v>0</v>
      </c>
      <c r="J24" s="164">
        <f>D24*I24</f>
        <v>0</v>
      </c>
      <c r="K24" s="315">
        <v>2</v>
      </c>
      <c r="L24" s="164">
        <f>D24*K24</f>
        <v>105000</v>
      </c>
      <c r="M24" s="315">
        <v>3</v>
      </c>
      <c r="N24" s="164">
        <f>D24*M24*AL5</f>
        <v>160650</v>
      </c>
      <c r="O24" s="315">
        <v>3</v>
      </c>
      <c r="P24" s="164">
        <f>D24*O24*AL6</f>
        <v>163863</v>
      </c>
      <c r="Q24" s="301">
        <v>212</v>
      </c>
      <c r="R24" s="294">
        <v>1111</v>
      </c>
      <c r="S24" s="294">
        <v>6111</v>
      </c>
      <c r="V24" s="300"/>
      <c r="W24" s="300"/>
      <c r="X24" s="300"/>
      <c r="Y24" s="300"/>
      <c r="Z24" s="392"/>
      <c r="AA24" s="300"/>
      <c r="AB24" s="300"/>
      <c r="AC24" s="300"/>
      <c r="AD24" s="300"/>
      <c r="AE24" s="300"/>
      <c r="AF24" s="300"/>
      <c r="AG24" s="300"/>
      <c r="AH24" s="300"/>
      <c r="AI24" s="300"/>
      <c r="AL24" s="302"/>
    </row>
    <row r="25" spans="1:54" x14ac:dyDescent="0.15">
      <c r="A25" s="282"/>
      <c r="B25" s="294" t="s">
        <v>253</v>
      </c>
      <c r="C25" s="303"/>
      <c r="D25" s="300">
        <v>52500</v>
      </c>
      <c r="G25" s="314">
        <v>0</v>
      </c>
      <c r="H25" s="164">
        <f t="shared" si="11"/>
        <v>0</v>
      </c>
      <c r="I25" s="315">
        <v>0</v>
      </c>
      <c r="J25" s="164">
        <f>D25*I25</f>
        <v>0</v>
      </c>
      <c r="K25" s="315">
        <v>0</v>
      </c>
      <c r="L25" s="164">
        <f>D25*K25</f>
        <v>0</v>
      </c>
      <c r="M25" s="315">
        <v>2</v>
      </c>
      <c r="N25" s="164">
        <f>D25*M25</f>
        <v>105000</v>
      </c>
      <c r="O25" s="315">
        <v>3</v>
      </c>
      <c r="P25" s="164">
        <f>D25*O25*AL5</f>
        <v>160650</v>
      </c>
      <c r="Q25" s="301">
        <v>212</v>
      </c>
      <c r="R25" s="294">
        <v>1111</v>
      </c>
      <c r="S25" s="294">
        <v>6111</v>
      </c>
      <c r="V25" s="300"/>
      <c r="W25" s="300"/>
      <c r="X25" s="300"/>
      <c r="Y25" s="300"/>
      <c r="Z25" s="392"/>
      <c r="AA25" s="300"/>
      <c r="AB25" s="300"/>
      <c r="AC25" s="300"/>
      <c r="AD25" s="300"/>
      <c r="AE25" s="300"/>
      <c r="AF25" s="300"/>
      <c r="AG25" s="300"/>
      <c r="AH25" s="300"/>
      <c r="AI25" s="300"/>
      <c r="AL25" s="302"/>
    </row>
    <row r="26" spans="1:54" x14ac:dyDescent="0.15">
      <c r="A26" s="282"/>
      <c r="B26" s="294" t="s">
        <v>455</v>
      </c>
      <c r="C26" s="294" t="s">
        <v>353</v>
      </c>
      <c r="D26" s="300">
        <v>75000</v>
      </c>
      <c r="G26" s="314">
        <v>1</v>
      </c>
      <c r="H26" s="164">
        <f t="shared" si="11"/>
        <v>75000</v>
      </c>
      <c r="I26" s="315">
        <v>0</v>
      </c>
      <c r="J26" s="164">
        <f>D26*I26*$AL$5</f>
        <v>0</v>
      </c>
      <c r="K26" s="315">
        <v>0</v>
      </c>
      <c r="L26" s="301">
        <f>D26*K26*$AL$6</f>
        <v>0</v>
      </c>
      <c r="M26" s="315">
        <v>0</v>
      </c>
      <c r="N26" s="301">
        <f>D26*M26*$AL$7</f>
        <v>0</v>
      </c>
      <c r="O26" s="315">
        <v>0</v>
      </c>
      <c r="P26" s="301">
        <f>D26*O26*$AL$8</f>
        <v>0</v>
      </c>
      <c r="Q26" s="301">
        <v>212</v>
      </c>
      <c r="R26" s="294">
        <v>1111</v>
      </c>
      <c r="S26" s="294">
        <v>6111</v>
      </c>
      <c r="V26" s="300"/>
      <c r="W26" s="300"/>
      <c r="X26" s="300"/>
      <c r="Y26" s="300"/>
      <c r="Z26" s="392"/>
      <c r="AA26" s="300"/>
      <c r="AB26" s="300"/>
      <c r="AC26" s="300"/>
      <c r="AD26" s="300"/>
      <c r="AE26" s="300"/>
      <c r="AF26" s="300"/>
      <c r="AG26" s="300"/>
      <c r="AH26" s="300"/>
      <c r="AI26" s="300"/>
      <c r="AL26" s="302"/>
    </row>
    <row r="27" spans="1:54" x14ac:dyDescent="0.15">
      <c r="A27" s="282"/>
      <c r="B27" s="294" t="s">
        <v>456</v>
      </c>
      <c r="C27" s="294" t="s">
        <v>355</v>
      </c>
      <c r="D27" s="300">
        <v>75000</v>
      </c>
      <c r="G27" s="314">
        <v>1</v>
      </c>
      <c r="H27" s="164">
        <f>D27*G27</f>
        <v>75000</v>
      </c>
      <c r="I27" s="315">
        <v>0</v>
      </c>
      <c r="J27" s="164">
        <f>D27*I27*$AL$5</f>
        <v>0</v>
      </c>
      <c r="K27" s="315">
        <v>0</v>
      </c>
      <c r="L27" s="301">
        <f>D27*K27*$AL$6</f>
        <v>0</v>
      </c>
      <c r="M27" s="315">
        <v>0</v>
      </c>
      <c r="N27" s="301">
        <f>D27*M27*$AL$7</f>
        <v>0</v>
      </c>
      <c r="O27" s="315">
        <v>0</v>
      </c>
      <c r="P27" s="301">
        <f>D27*O27*$AL$8</f>
        <v>0</v>
      </c>
      <c r="Q27" s="301">
        <v>212</v>
      </c>
      <c r="R27" s="294">
        <v>1111</v>
      </c>
      <c r="S27" s="294">
        <v>6111</v>
      </c>
      <c r="V27" s="300"/>
      <c r="W27" s="300"/>
      <c r="X27" s="300"/>
      <c r="Y27" s="300"/>
      <c r="Z27" s="392"/>
      <c r="AA27" s="300"/>
      <c r="AB27" s="300"/>
      <c r="AC27" s="300"/>
      <c r="AD27" s="300"/>
      <c r="AE27" s="300"/>
      <c r="AF27" s="300"/>
      <c r="AG27" s="300"/>
      <c r="AH27" s="300"/>
      <c r="AI27" s="300"/>
      <c r="AL27" s="302"/>
    </row>
    <row r="28" spans="1:54" x14ac:dyDescent="0.15">
      <c r="A28" s="282"/>
      <c r="B28" s="294" t="s">
        <v>428</v>
      </c>
      <c r="C28" s="294" t="s">
        <v>356</v>
      </c>
      <c r="D28" s="300">
        <v>51159</v>
      </c>
      <c r="G28" s="314">
        <v>1</v>
      </c>
      <c r="H28" s="164">
        <f>D28*G28*AL5</f>
        <v>52182.18</v>
      </c>
      <c r="I28" s="315">
        <v>1</v>
      </c>
      <c r="J28" s="164">
        <f>D28*I28*$AL$6</f>
        <v>53225.823599999996</v>
      </c>
      <c r="K28" s="315">
        <v>1</v>
      </c>
      <c r="L28" s="301">
        <f>D28*K28*$AL$7</f>
        <v>54290.340071999999</v>
      </c>
      <c r="M28" s="315">
        <v>1</v>
      </c>
      <c r="N28" s="301">
        <f>D28*M28*$AL$8</f>
        <v>55376.146873439997</v>
      </c>
      <c r="O28" s="315">
        <v>1</v>
      </c>
      <c r="P28" s="301">
        <f>D28*O28*$AL$9</f>
        <v>56274.9</v>
      </c>
      <c r="Q28" s="301">
        <v>212</v>
      </c>
      <c r="R28" s="294">
        <v>1111</v>
      </c>
      <c r="S28" s="294">
        <v>6111</v>
      </c>
      <c r="V28" s="300"/>
      <c r="W28" s="300"/>
      <c r="X28" s="300"/>
      <c r="Y28" s="300"/>
      <c r="Z28" s="392"/>
      <c r="AA28" s="300"/>
      <c r="AB28" s="300"/>
      <c r="AC28" s="300"/>
      <c r="AD28" s="300"/>
      <c r="AE28" s="300"/>
      <c r="AF28" s="300"/>
      <c r="AG28" s="300"/>
      <c r="AH28" s="300"/>
      <c r="AI28" s="300"/>
      <c r="AL28" s="302"/>
    </row>
    <row r="29" spans="1:54" x14ac:dyDescent="0.15">
      <c r="A29" s="282"/>
      <c r="B29" s="294" t="s">
        <v>429</v>
      </c>
      <c r="C29" s="394" t="s">
        <v>434</v>
      </c>
      <c r="D29" s="300">
        <v>45000</v>
      </c>
      <c r="G29" s="314">
        <v>1</v>
      </c>
      <c r="H29" s="164">
        <f>D29*G29</f>
        <v>45000</v>
      </c>
      <c r="I29" s="315">
        <v>1</v>
      </c>
      <c r="J29" s="164">
        <f>D29*I29*AL5</f>
        <v>45900</v>
      </c>
      <c r="K29" s="315">
        <v>1</v>
      </c>
      <c r="L29" s="301">
        <f>D29*K29*AL6</f>
        <v>46818</v>
      </c>
      <c r="M29" s="315">
        <v>3</v>
      </c>
      <c r="N29" s="301">
        <f>D29*M29*AL7</f>
        <v>143263.07999999999</v>
      </c>
      <c r="O29" s="315">
        <v>3</v>
      </c>
      <c r="P29" s="301">
        <f>D29*O29*AL8</f>
        <v>146128.34159999999</v>
      </c>
      <c r="Q29" s="301">
        <v>212</v>
      </c>
      <c r="R29" s="294">
        <v>1111</v>
      </c>
      <c r="S29" s="294">
        <v>6111</v>
      </c>
      <c r="V29" s="300"/>
      <c r="W29" s="300"/>
      <c r="X29" s="300"/>
      <c r="Y29" s="300"/>
      <c r="Z29" s="392"/>
      <c r="AA29" s="300"/>
      <c r="AB29" s="300"/>
      <c r="AC29" s="300"/>
      <c r="AD29" s="300"/>
      <c r="AE29" s="300"/>
      <c r="AF29" s="300"/>
      <c r="AG29" s="300"/>
      <c r="AH29" s="300"/>
      <c r="AI29" s="300"/>
      <c r="AL29" s="302"/>
    </row>
    <row r="30" spans="1:54" x14ac:dyDescent="0.15">
      <c r="A30" s="282"/>
      <c r="B30" s="294" t="s">
        <v>458</v>
      </c>
      <c r="C30" s="393" t="s">
        <v>435</v>
      </c>
      <c r="D30" s="300">
        <v>45000</v>
      </c>
      <c r="G30" s="314">
        <v>1</v>
      </c>
      <c r="H30" s="164">
        <f>D30*G30</f>
        <v>45000</v>
      </c>
      <c r="I30" s="315">
        <v>1</v>
      </c>
      <c r="J30" s="164">
        <f>D30*I30</f>
        <v>45000</v>
      </c>
      <c r="K30" s="315">
        <v>1</v>
      </c>
      <c r="L30" s="301">
        <f>D30*K30*$AL$5</f>
        <v>45900</v>
      </c>
      <c r="M30" s="315">
        <v>1</v>
      </c>
      <c r="N30" s="301">
        <f>D30*M30*$AL$6</f>
        <v>46818</v>
      </c>
      <c r="O30" s="315">
        <v>1</v>
      </c>
      <c r="P30" s="301">
        <f>D30*O30*$AL$7</f>
        <v>47754.359999999993</v>
      </c>
      <c r="Q30" s="301">
        <v>212</v>
      </c>
      <c r="R30" s="294">
        <v>1111</v>
      </c>
      <c r="S30" s="294">
        <v>6111</v>
      </c>
      <c r="V30" s="300"/>
      <c r="W30" s="300"/>
      <c r="X30" s="300"/>
      <c r="Y30" s="300"/>
      <c r="Z30" s="392"/>
      <c r="AA30" s="300"/>
      <c r="AB30" s="300"/>
      <c r="AC30" s="300"/>
      <c r="AD30" s="300"/>
      <c r="AE30" s="300"/>
      <c r="AF30" s="300"/>
      <c r="AG30" s="300"/>
      <c r="AH30" s="300"/>
      <c r="AI30" s="300"/>
      <c r="AL30" s="302"/>
    </row>
    <row r="31" spans="1:54" x14ac:dyDescent="0.15">
      <c r="A31" s="282"/>
      <c r="B31" s="294" t="s">
        <v>459</v>
      </c>
      <c r="C31" s="303"/>
      <c r="D31" s="300">
        <v>52500</v>
      </c>
      <c r="G31" s="314">
        <v>0</v>
      </c>
      <c r="H31" s="164">
        <f>D31*G31</f>
        <v>0</v>
      </c>
      <c r="I31" s="315">
        <v>1</v>
      </c>
      <c r="J31" s="164">
        <f>D31*I31</f>
        <v>52500</v>
      </c>
      <c r="K31" s="315">
        <v>2</v>
      </c>
      <c r="L31" s="301">
        <f>D31*K31*$AL$5</f>
        <v>107100</v>
      </c>
      <c r="M31" s="315">
        <v>3</v>
      </c>
      <c r="N31" s="301">
        <f>D31*M31*$AL$6</f>
        <v>163863</v>
      </c>
      <c r="O31" s="315">
        <v>3</v>
      </c>
      <c r="P31" s="301">
        <f>D31*O31*$AL$7</f>
        <v>167140.25999999998</v>
      </c>
      <c r="Q31" s="301">
        <v>212</v>
      </c>
      <c r="R31" s="294">
        <v>1111</v>
      </c>
      <c r="S31" s="294">
        <v>6111</v>
      </c>
      <c r="V31" s="300"/>
      <c r="W31" s="300"/>
      <c r="X31" s="300"/>
      <c r="Y31" s="300"/>
      <c r="Z31" s="392"/>
      <c r="AA31" s="300"/>
      <c r="AB31" s="300"/>
      <c r="AC31" s="300"/>
      <c r="AD31" s="300"/>
      <c r="AE31" s="300"/>
      <c r="AF31" s="300"/>
      <c r="AG31" s="300"/>
      <c r="AH31" s="300"/>
      <c r="AI31" s="300"/>
      <c r="AL31" s="302"/>
    </row>
    <row r="32" spans="1:54" x14ac:dyDescent="0.15">
      <c r="A32" s="282"/>
      <c r="B32" s="294" t="s">
        <v>320</v>
      </c>
      <c r="C32" s="294" t="s">
        <v>357</v>
      </c>
      <c r="D32" s="300">
        <v>56500</v>
      </c>
      <c r="G32" s="314">
        <v>1</v>
      </c>
      <c r="H32" s="164">
        <f>D32*G32*AL5</f>
        <v>57630</v>
      </c>
      <c r="I32" s="315">
        <v>1</v>
      </c>
      <c r="J32" s="164">
        <f>D32*I32*$AL$6</f>
        <v>58782.6</v>
      </c>
      <c r="K32" s="315">
        <v>1</v>
      </c>
      <c r="L32" s="301">
        <f>D32*K32*$AL$7</f>
        <v>59958.251999999993</v>
      </c>
      <c r="M32" s="315">
        <v>1</v>
      </c>
      <c r="N32" s="301">
        <f>D32*M32*$AL$8</f>
        <v>61157.41704</v>
      </c>
      <c r="O32" s="315">
        <v>1</v>
      </c>
      <c r="P32" s="301">
        <f>D32*O32*$AL$9</f>
        <v>62150.000000000007</v>
      </c>
      <c r="Q32" s="301">
        <v>212</v>
      </c>
      <c r="R32" s="294">
        <v>1221</v>
      </c>
      <c r="S32" s="294">
        <v>6111</v>
      </c>
      <c r="V32" s="300"/>
      <c r="W32" s="300"/>
      <c r="X32" s="300"/>
      <c r="Y32" s="300"/>
      <c r="Z32" s="392"/>
      <c r="AA32" s="300"/>
      <c r="AB32" s="300"/>
      <c r="AC32" s="300"/>
      <c r="AD32" s="300"/>
      <c r="AE32" s="300"/>
      <c r="AF32" s="300"/>
      <c r="AG32" s="300"/>
      <c r="AH32" s="300"/>
      <c r="AI32" s="300"/>
      <c r="AL32" s="302"/>
    </row>
    <row r="33" spans="1:38" x14ac:dyDescent="0.15">
      <c r="A33" s="282"/>
      <c r="B33" s="294" t="s">
        <v>320</v>
      </c>
      <c r="C33" s="393" t="s">
        <v>432</v>
      </c>
      <c r="D33" s="300">
        <v>45000</v>
      </c>
      <c r="G33" s="314">
        <v>1</v>
      </c>
      <c r="H33" s="164">
        <f t="shared" si="11"/>
        <v>45000</v>
      </c>
      <c r="I33" s="315">
        <v>1</v>
      </c>
      <c r="J33" s="164">
        <f>D33*I33*$AL$5</f>
        <v>45900</v>
      </c>
      <c r="K33" s="315">
        <v>1</v>
      </c>
      <c r="L33" s="301">
        <f>D33*K33*$AL$6</f>
        <v>46818</v>
      </c>
      <c r="M33" s="315">
        <v>1</v>
      </c>
      <c r="N33" s="301">
        <f>D33*M33*$AL$7</f>
        <v>47754.359999999993</v>
      </c>
      <c r="O33" s="315">
        <v>1</v>
      </c>
      <c r="P33" s="301">
        <f>D33*O33*$AL$8</f>
        <v>48709.447200000002</v>
      </c>
      <c r="Q33" s="301">
        <v>212</v>
      </c>
      <c r="R33" s="294">
        <v>1221</v>
      </c>
      <c r="S33" s="294">
        <v>6111</v>
      </c>
      <c r="V33" s="300"/>
      <c r="W33" s="300"/>
      <c r="X33" s="300"/>
      <c r="Y33" s="300"/>
      <c r="Z33" s="392"/>
      <c r="AA33" s="300"/>
      <c r="AB33" s="300"/>
      <c r="AC33" s="300"/>
      <c r="AD33" s="300"/>
      <c r="AE33" s="300"/>
      <c r="AF33" s="300"/>
      <c r="AG33" s="300"/>
      <c r="AH33" s="300"/>
      <c r="AI33" s="300"/>
      <c r="AL33" s="302"/>
    </row>
    <row r="34" spans="1:38" x14ac:dyDescent="0.15">
      <c r="A34" s="282"/>
      <c r="B34" s="294" t="s">
        <v>320</v>
      </c>
      <c r="C34" s="303"/>
      <c r="D34" s="300">
        <v>52500</v>
      </c>
      <c r="G34" s="314">
        <v>0</v>
      </c>
      <c r="H34" s="164">
        <f t="shared" si="11"/>
        <v>0</v>
      </c>
      <c r="I34" s="315">
        <v>0</v>
      </c>
      <c r="J34" s="164">
        <f>D34*I34*AL5</f>
        <v>0</v>
      </c>
      <c r="K34" s="315">
        <v>1</v>
      </c>
      <c r="L34" s="301">
        <f>D34*K34*AL6</f>
        <v>54621</v>
      </c>
      <c r="M34" s="315">
        <v>2</v>
      </c>
      <c r="N34" s="301">
        <f>D34*M34*AL7</f>
        <v>111426.84</v>
      </c>
      <c r="O34" s="315">
        <v>2</v>
      </c>
      <c r="P34" s="301">
        <f>D34*O34*AL8</f>
        <v>113655.3768</v>
      </c>
      <c r="Q34" s="301">
        <v>212</v>
      </c>
      <c r="R34" s="294">
        <v>1221</v>
      </c>
      <c r="S34" s="294">
        <v>6111</v>
      </c>
      <c r="V34" s="300"/>
      <c r="W34" s="300"/>
      <c r="X34" s="300"/>
      <c r="Y34" s="300"/>
      <c r="Z34" s="392"/>
      <c r="AA34" s="300"/>
      <c r="AB34" s="300"/>
      <c r="AC34" s="300"/>
      <c r="AD34" s="300"/>
      <c r="AE34" s="300"/>
      <c r="AF34" s="300"/>
      <c r="AG34" s="300"/>
      <c r="AH34" s="300"/>
      <c r="AI34" s="300"/>
      <c r="AL34" s="302"/>
    </row>
    <row r="35" spans="1:38" x14ac:dyDescent="0.15">
      <c r="A35" s="282"/>
      <c r="D35" s="300"/>
      <c r="G35" s="319">
        <f>SUM(G14:G34)</f>
        <v>15</v>
      </c>
      <c r="H35" s="283">
        <f>SUM(H13:H34)</f>
        <v>819347.00000000012</v>
      </c>
      <c r="I35" s="319">
        <f>SUM(I14:I34)</f>
        <v>17</v>
      </c>
      <c r="J35" s="283">
        <f>SUM(J13:J34)</f>
        <v>891833.94000000006</v>
      </c>
      <c r="K35" s="319">
        <f>SUM(K14:K34)</f>
        <v>22</v>
      </c>
      <c r="L35" s="283">
        <f>SUM(L13:L34)</f>
        <v>1177395.0429839999</v>
      </c>
      <c r="M35" s="319">
        <f>SUM(M14:M34)</f>
        <v>29</v>
      </c>
      <c r="N35" s="283">
        <f>SUM(N13:N34)</f>
        <v>1565336.0838436801</v>
      </c>
      <c r="O35" s="319">
        <f>SUM(O14:O34)</f>
        <v>30</v>
      </c>
      <c r="P35" s="283">
        <f>SUM(P13:P34)</f>
        <v>1648629.96807664</v>
      </c>
      <c r="Q35" s="283"/>
      <c r="AL35" s="302"/>
    </row>
    <row r="36" spans="1:38" x14ac:dyDescent="0.15">
      <c r="A36" s="282"/>
      <c r="D36" s="300"/>
      <c r="H36" s="164"/>
      <c r="I36" s="315"/>
      <c r="J36" s="164"/>
      <c r="K36" s="315"/>
      <c r="L36" s="164"/>
      <c r="M36" s="315"/>
      <c r="N36" s="164"/>
      <c r="O36" s="315"/>
      <c r="P36" s="164"/>
      <c r="Q36" s="164"/>
      <c r="AL36" s="302"/>
    </row>
    <row r="37" spans="1:38" x14ac:dyDescent="0.15">
      <c r="A37" s="282" t="s">
        <v>255</v>
      </c>
      <c r="D37" s="300"/>
      <c r="H37" s="164"/>
      <c r="I37" s="315"/>
      <c r="J37" s="164"/>
      <c r="K37" s="315"/>
      <c r="L37" s="164"/>
      <c r="M37" s="315"/>
      <c r="N37" s="164"/>
      <c r="O37" s="315"/>
      <c r="P37" s="164"/>
      <c r="Q37" s="164"/>
      <c r="AL37" s="302"/>
    </row>
    <row r="38" spans="1:38" x14ac:dyDescent="0.15">
      <c r="B38" s="308" t="s">
        <v>338</v>
      </c>
      <c r="C38" s="308" t="s">
        <v>358</v>
      </c>
      <c r="D38" s="300">
        <v>53242</v>
      </c>
      <c r="G38" s="295">
        <v>1</v>
      </c>
      <c r="H38" s="164">
        <f>D38*G38*AL5</f>
        <v>54306.840000000004</v>
      </c>
      <c r="I38" s="320">
        <v>1</v>
      </c>
      <c r="J38" s="164">
        <f>D38*I38*$AL$6</f>
        <v>55392.976799999997</v>
      </c>
      <c r="K38" s="320">
        <v>1</v>
      </c>
      <c r="L38" s="301">
        <f>D38*K38*$AL$7</f>
        <v>56500.836335999993</v>
      </c>
      <c r="M38" s="315">
        <v>1</v>
      </c>
      <c r="N38" s="301">
        <f>D38*M38*$AL$8</f>
        <v>57630.853062720002</v>
      </c>
      <c r="O38" s="315">
        <v>1</v>
      </c>
      <c r="P38" s="301">
        <f>D38*O38*$AL$9</f>
        <v>58566.200000000004</v>
      </c>
      <c r="Q38" s="301">
        <v>212</v>
      </c>
      <c r="R38" s="294">
        <v>1111</v>
      </c>
      <c r="S38" s="294">
        <v>6111</v>
      </c>
      <c r="AL38" s="302"/>
    </row>
    <row r="39" spans="1:38" x14ac:dyDescent="0.15">
      <c r="B39" s="308" t="s">
        <v>339</v>
      </c>
      <c r="C39" s="308" t="s">
        <v>359</v>
      </c>
      <c r="D39" s="300">
        <v>50677</v>
      </c>
      <c r="G39" s="295">
        <v>1</v>
      </c>
      <c r="H39" s="164">
        <f>D39*G39*AL5</f>
        <v>51690.54</v>
      </c>
      <c r="I39" s="320">
        <v>1</v>
      </c>
      <c r="J39" s="164">
        <f>D39*I39*$AL$6</f>
        <v>52724.3508</v>
      </c>
      <c r="K39" s="320">
        <v>1</v>
      </c>
      <c r="L39" s="301">
        <f>D39*K39*$AL$7</f>
        <v>53778.837815999999</v>
      </c>
      <c r="M39" s="315">
        <v>1</v>
      </c>
      <c r="N39" s="301">
        <f>D39*M39*$AL$8</f>
        <v>54854.414572319998</v>
      </c>
      <c r="O39" s="315">
        <v>1</v>
      </c>
      <c r="P39" s="301">
        <f>D39*O39*$AL$9</f>
        <v>55744.700000000004</v>
      </c>
      <c r="Q39" s="301">
        <v>212</v>
      </c>
      <c r="R39" s="294">
        <v>1111</v>
      </c>
      <c r="S39" s="294">
        <v>6111</v>
      </c>
      <c r="AL39" s="302"/>
    </row>
    <row r="40" spans="1:38" x14ac:dyDescent="0.15">
      <c r="B40" s="308" t="s">
        <v>340</v>
      </c>
      <c r="C40" s="308" t="s">
        <v>436</v>
      </c>
      <c r="D40" s="300">
        <v>40000</v>
      </c>
      <c r="G40" s="295">
        <v>1</v>
      </c>
      <c r="H40" s="164">
        <f>D40*G40</f>
        <v>40000</v>
      </c>
      <c r="I40" s="320">
        <v>1</v>
      </c>
      <c r="J40" s="164">
        <f>D40*I40*AL5</f>
        <v>40800</v>
      </c>
      <c r="K40" s="320">
        <v>1</v>
      </c>
      <c r="L40" s="301">
        <f>D40*K40*$AL$6</f>
        <v>41616</v>
      </c>
      <c r="M40" s="315">
        <v>1</v>
      </c>
      <c r="N40" s="301">
        <f>D40*M40*$AL$7</f>
        <v>42448.32</v>
      </c>
      <c r="O40" s="315">
        <v>1</v>
      </c>
      <c r="P40" s="301">
        <f>D40*O40*$AL$8</f>
        <v>43297.286399999997</v>
      </c>
      <c r="Q40" s="301">
        <v>212</v>
      </c>
      <c r="R40" s="294">
        <v>1111</v>
      </c>
      <c r="S40" s="294">
        <v>6111</v>
      </c>
      <c r="AL40" s="302"/>
    </row>
    <row r="41" spans="1:38" x14ac:dyDescent="0.15">
      <c r="A41" s="282"/>
      <c r="B41" s="308"/>
      <c r="C41" s="308"/>
      <c r="D41" s="309"/>
      <c r="G41" s="319">
        <f t="shared" ref="G41:P41" si="12">SUM(G38:G40)</f>
        <v>3</v>
      </c>
      <c r="H41" s="283">
        <f t="shared" si="12"/>
        <v>145997.38</v>
      </c>
      <c r="I41" s="319">
        <f t="shared" si="12"/>
        <v>3</v>
      </c>
      <c r="J41" s="283">
        <f>SUM(J38:J40)</f>
        <v>148917.32759999999</v>
      </c>
      <c r="K41" s="319">
        <f t="shared" si="12"/>
        <v>3</v>
      </c>
      <c r="L41" s="283">
        <f t="shared" si="12"/>
        <v>151895.67415199999</v>
      </c>
      <c r="M41" s="319">
        <f t="shared" si="12"/>
        <v>3</v>
      </c>
      <c r="N41" s="283">
        <f t="shared" si="12"/>
        <v>154933.58763503999</v>
      </c>
      <c r="O41" s="319">
        <f t="shared" si="12"/>
        <v>3</v>
      </c>
      <c r="P41" s="283">
        <f t="shared" si="12"/>
        <v>157608.18640000001</v>
      </c>
      <c r="Q41" s="283"/>
      <c r="AL41" s="302"/>
    </row>
    <row r="42" spans="1:38" x14ac:dyDescent="0.15">
      <c r="A42" s="282"/>
      <c r="B42" s="308"/>
      <c r="C42" s="308"/>
      <c r="D42" s="309"/>
      <c r="H42" s="164"/>
      <c r="I42" s="315"/>
      <c r="J42" s="164"/>
      <c r="K42" s="315"/>
      <c r="L42" s="164"/>
      <c r="M42" s="315"/>
      <c r="N42" s="164"/>
      <c r="O42" s="315"/>
      <c r="P42" s="164"/>
      <c r="Q42" s="164"/>
      <c r="AL42" s="302"/>
    </row>
    <row r="43" spans="1:38" x14ac:dyDescent="0.15">
      <c r="A43" s="282" t="s">
        <v>257</v>
      </c>
      <c r="B43" s="308"/>
      <c r="C43" s="308"/>
      <c r="D43" s="309"/>
      <c r="H43" s="164"/>
      <c r="I43" s="315"/>
      <c r="J43" s="164"/>
      <c r="K43" s="315"/>
      <c r="L43" s="164"/>
      <c r="M43" s="315"/>
      <c r="N43" s="164"/>
      <c r="O43" s="315"/>
      <c r="P43" s="164"/>
      <c r="Q43" s="164"/>
      <c r="AL43" s="302"/>
    </row>
    <row r="44" spans="1:38" x14ac:dyDescent="0.15">
      <c r="A44" s="282"/>
      <c r="B44" s="308" t="s">
        <v>321</v>
      </c>
      <c r="C44" s="303"/>
      <c r="D44" s="309">
        <v>45000</v>
      </c>
      <c r="G44" s="295">
        <v>0</v>
      </c>
      <c r="H44" s="164">
        <f>D44*G44</f>
        <v>0</v>
      </c>
      <c r="I44" s="320">
        <v>1</v>
      </c>
      <c r="J44" s="164">
        <f>D44*I44</f>
        <v>45000</v>
      </c>
      <c r="K44" s="321">
        <v>1</v>
      </c>
      <c r="L44" s="301">
        <f>D44*K44*$AL$5</f>
        <v>45900</v>
      </c>
      <c r="M44" s="320">
        <v>1</v>
      </c>
      <c r="N44" s="301">
        <f>D44*M44*$AL6</f>
        <v>46818</v>
      </c>
      <c r="O44" s="320">
        <v>1</v>
      </c>
      <c r="P44" s="301">
        <f>D44*O44*$AL$7</f>
        <v>47754.359999999993</v>
      </c>
      <c r="Q44" s="301">
        <v>112</v>
      </c>
      <c r="R44" s="294">
        <v>2134</v>
      </c>
      <c r="S44" s="294">
        <v>6151</v>
      </c>
      <c r="AL44" s="302"/>
    </row>
    <row r="45" spans="1:38" x14ac:dyDescent="0.15">
      <c r="A45" s="282"/>
      <c r="B45" s="308" t="s">
        <v>331</v>
      </c>
      <c r="C45" s="308" t="s">
        <v>394</v>
      </c>
      <c r="D45" s="310">
        <v>30000</v>
      </c>
      <c r="G45" s="295">
        <v>1</v>
      </c>
      <c r="H45" s="164">
        <f>D45*G45</f>
        <v>30000</v>
      </c>
      <c r="I45" s="320">
        <v>1</v>
      </c>
      <c r="J45" s="164">
        <f>D45*I45*AL5</f>
        <v>30600</v>
      </c>
      <c r="K45" s="321">
        <v>1</v>
      </c>
      <c r="L45" s="301">
        <f>D45*K45*AL6</f>
        <v>31212</v>
      </c>
      <c r="M45" s="320">
        <v>1</v>
      </c>
      <c r="N45" s="301">
        <f>D45*M45*AL7</f>
        <v>31836.239999999998</v>
      </c>
      <c r="O45" s="320">
        <v>1</v>
      </c>
      <c r="P45" s="301">
        <f>D45*O45*AL8</f>
        <v>32472.964799999998</v>
      </c>
      <c r="Q45" s="301">
        <v>112</v>
      </c>
      <c r="R45" s="294">
        <v>1111</v>
      </c>
      <c r="S45" s="294">
        <v>6152</v>
      </c>
      <c r="AL45" s="302"/>
    </row>
    <row r="46" spans="1:38" x14ac:dyDescent="0.15">
      <c r="A46" s="282"/>
      <c r="B46" s="308" t="s">
        <v>331</v>
      </c>
      <c r="C46" s="308" t="s">
        <v>385</v>
      </c>
      <c r="D46" s="309">
        <v>30000</v>
      </c>
      <c r="G46" s="295">
        <v>1</v>
      </c>
      <c r="H46" s="164">
        <f>D46*G46</f>
        <v>30000</v>
      </c>
      <c r="I46" s="320">
        <v>1</v>
      </c>
      <c r="J46" s="164">
        <f>D46*I46*$AL$5</f>
        <v>30600</v>
      </c>
      <c r="K46" s="321">
        <v>1</v>
      </c>
      <c r="L46" s="301">
        <f>D46*K46*$AL$7</f>
        <v>31836.239999999998</v>
      </c>
      <c r="M46" s="320">
        <v>1</v>
      </c>
      <c r="N46" s="301">
        <f>D46*M46*$AL$8</f>
        <v>32472.964799999998</v>
      </c>
      <c r="O46" s="320">
        <v>1</v>
      </c>
      <c r="P46" s="301">
        <f>D46*O46*$AL$9</f>
        <v>33000</v>
      </c>
      <c r="Q46" s="301">
        <v>112</v>
      </c>
      <c r="R46" s="294">
        <v>1111</v>
      </c>
      <c r="S46" s="294">
        <v>6152</v>
      </c>
      <c r="AL46" s="302"/>
    </row>
    <row r="47" spans="1:38" x14ac:dyDescent="0.15">
      <c r="A47" s="282"/>
      <c r="B47" s="308" t="s">
        <v>331</v>
      </c>
      <c r="C47" s="308" t="s">
        <v>395</v>
      </c>
      <c r="D47" s="309">
        <v>25000</v>
      </c>
      <c r="G47" s="295">
        <v>1</v>
      </c>
      <c r="H47" s="164">
        <f t="shared" ref="H47:H54" si="13">D47*G47</f>
        <v>25000</v>
      </c>
      <c r="I47" s="320">
        <v>1</v>
      </c>
      <c r="J47" s="164">
        <f t="shared" ref="J47:J54" si="14">D47*I47*$AL$5</f>
        <v>25500</v>
      </c>
      <c r="K47" s="321">
        <v>1</v>
      </c>
      <c r="L47" s="301">
        <f>D47*K47*$AL$6</f>
        <v>26010</v>
      </c>
      <c r="M47" s="320">
        <v>1</v>
      </c>
      <c r="N47" s="301">
        <f t="shared" ref="N47:N54" si="15">D47*M47*$AL$7</f>
        <v>26530.199999999997</v>
      </c>
      <c r="O47" s="320">
        <v>1</v>
      </c>
      <c r="P47" s="301">
        <f t="shared" ref="P47:P54" si="16">D47*O47*$AL$8</f>
        <v>27060.804</v>
      </c>
      <c r="Q47" s="301">
        <v>112</v>
      </c>
      <c r="R47" s="294">
        <v>1111</v>
      </c>
      <c r="S47" s="294">
        <v>6152</v>
      </c>
      <c r="AL47" s="302"/>
    </row>
    <row r="48" spans="1:38" x14ac:dyDescent="0.15">
      <c r="A48" s="282"/>
      <c r="B48" s="308" t="s">
        <v>331</v>
      </c>
      <c r="C48" s="308" t="s">
        <v>430</v>
      </c>
      <c r="D48" s="309">
        <v>25000</v>
      </c>
      <c r="G48" s="295">
        <v>1</v>
      </c>
      <c r="H48" s="164">
        <f t="shared" si="13"/>
        <v>25000</v>
      </c>
      <c r="I48" s="320">
        <v>1</v>
      </c>
      <c r="J48" s="164">
        <f t="shared" si="14"/>
        <v>25500</v>
      </c>
      <c r="K48" s="321">
        <v>1</v>
      </c>
      <c r="L48" s="301">
        <f t="shared" ref="L48:L54" si="17">D48*K48*$AL$6</f>
        <v>26010</v>
      </c>
      <c r="M48" s="320">
        <v>1</v>
      </c>
      <c r="N48" s="301">
        <f t="shared" si="15"/>
        <v>26530.199999999997</v>
      </c>
      <c r="O48" s="320">
        <v>1</v>
      </c>
      <c r="P48" s="301">
        <f t="shared" si="16"/>
        <v>27060.804</v>
      </c>
      <c r="Q48" s="301">
        <v>112</v>
      </c>
      <c r="R48" s="294">
        <v>1111</v>
      </c>
      <c r="S48" s="294">
        <v>6152</v>
      </c>
      <c r="AL48" s="302"/>
    </row>
    <row r="49" spans="1:38" x14ac:dyDescent="0.15">
      <c r="A49" s="282"/>
      <c r="B49" s="308" t="s">
        <v>331</v>
      </c>
      <c r="C49" s="393" t="s">
        <v>431</v>
      </c>
      <c r="D49" s="309">
        <v>30000</v>
      </c>
      <c r="G49" s="295">
        <v>1</v>
      </c>
      <c r="H49" s="164">
        <f t="shared" si="13"/>
        <v>30000</v>
      </c>
      <c r="I49" s="320">
        <v>1</v>
      </c>
      <c r="J49" s="164">
        <f t="shared" si="14"/>
        <v>30600</v>
      </c>
      <c r="K49" s="321">
        <v>1</v>
      </c>
      <c r="L49" s="301">
        <f t="shared" si="17"/>
        <v>31212</v>
      </c>
      <c r="M49" s="320">
        <v>1</v>
      </c>
      <c r="N49" s="301">
        <f t="shared" si="15"/>
        <v>31836.239999999998</v>
      </c>
      <c r="O49" s="320">
        <v>1</v>
      </c>
      <c r="P49" s="301">
        <f t="shared" si="16"/>
        <v>32472.964799999998</v>
      </c>
      <c r="Q49" s="301">
        <v>112</v>
      </c>
      <c r="R49" s="294">
        <v>1111</v>
      </c>
      <c r="S49" s="294">
        <v>6152</v>
      </c>
      <c r="AL49" s="302"/>
    </row>
    <row r="50" spans="1:38" x14ac:dyDescent="0.15">
      <c r="A50" s="282"/>
      <c r="B50" s="308" t="s">
        <v>331</v>
      </c>
      <c r="C50" s="393" t="s">
        <v>451</v>
      </c>
      <c r="D50" s="309">
        <v>25000</v>
      </c>
      <c r="G50" s="295">
        <v>1</v>
      </c>
      <c r="H50" s="164">
        <f t="shared" si="13"/>
        <v>25000</v>
      </c>
      <c r="I50" s="320">
        <v>1</v>
      </c>
      <c r="J50" s="164">
        <f t="shared" si="14"/>
        <v>25500</v>
      </c>
      <c r="K50" s="321">
        <v>1</v>
      </c>
      <c r="L50" s="301">
        <f t="shared" si="17"/>
        <v>26010</v>
      </c>
      <c r="M50" s="320">
        <v>1</v>
      </c>
      <c r="N50" s="301">
        <f t="shared" si="15"/>
        <v>26530.199999999997</v>
      </c>
      <c r="O50" s="320">
        <v>1</v>
      </c>
      <c r="P50" s="301">
        <f t="shared" si="16"/>
        <v>27060.804</v>
      </c>
      <c r="Q50" s="301">
        <v>112</v>
      </c>
      <c r="R50" s="294">
        <v>1111</v>
      </c>
      <c r="S50" s="294">
        <v>6152</v>
      </c>
      <c r="AL50" s="302"/>
    </row>
    <row r="51" spans="1:38" x14ac:dyDescent="0.15">
      <c r="A51" s="282"/>
      <c r="B51" s="308" t="s">
        <v>331</v>
      </c>
      <c r="C51" s="393" t="s">
        <v>433</v>
      </c>
      <c r="D51" s="309">
        <v>22500</v>
      </c>
      <c r="G51" s="295">
        <v>1</v>
      </c>
      <c r="H51" s="164">
        <f t="shared" si="13"/>
        <v>22500</v>
      </c>
      <c r="I51" s="320">
        <v>1</v>
      </c>
      <c r="J51" s="164">
        <f t="shared" si="14"/>
        <v>22950</v>
      </c>
      <c r="K51" s="321">
        <v>1</v>
      </c>
      <c r="L51" s="301">
        <f t="shared" si="17"/>
        <v>23409</v>
      </c>
      <c r="M51" s="320">
        <v>1</v>
      </c>
      <c r="N51" s="301">
        <f t="shared" si="15"/>
        <v>23877.179999999997</v>
      </c>
      <c r="O51" s="320">
        <v>1</v>
      </c>
      <c r="P51" s="301">
        <f t="shared" si="16"/>
        <v>24354.723600000001</v>
      </c>
      <c r="Q51" s="301">
        <v>112</v>
      </c>
      <c r="R51" s="294">
        <v>1111</v>
      </c>
      <c r="S51" s="294">
        <v>6152</v>
      </c>
      <c r="AL51" s="302"/>
    </row>
    <row r="52" spans="1:38" x14ac:dyDescent="0.15">
      <c r="A52" s="282"/>
      <c r="B52" s="308" t="s">
        <v>331</v>
      </c>
      <c r="C52" s="393" t="s">
        <v>437</v>
      </c>
      <c r="D52" s="309">
        <v>30000</v>
      </c>
      <c r="G52" s="295">
        <v>1</v>
      </c>
      <c r="H52" s="164">
        <f t="shared" si="13"/>
        <v>30000</v>
      </c>
      <c r="I52" s="320">
        <v>1</v>
      </c>
      <c r="J52" s="164">
        <f t="shared" si="14"/>
        <v>30600</v>
      </c>
      <c r="K52" s="321">
        <v>1</v>
      </c>
      <c r="L52" s="301">
        <f t="shared" si="17"/>
        <v>31212</v>
      </c>
      <c r="M52" s="320">
        <v>1</v>
      </c>
      <c r="N52" s="301">
        <f t="shared" si="15"/>
        <v>31836.239999999998</v>
      </c>
      <c r="O52" s="320">
        <v>1</v>
      </c>
      <c r="P52" s="301">
        <f t="shared" si="16"/>
        <v>32472.964799999998</v>
      </c>
      <c r="Q52" s="301">
        <v>112</v>
      </c>
      <c r="R52" s="294">
        <v>1111</v>
      </c>
      <c r="S52" s="294">
        <v>6152</v>
      </c>
      <c r="AL52" s="302"/>
    </row>
    <row r="53" spans="1:38" x14ac:dyDescent="0.15">
      <c r="A53" s="282"/>
      <c r="B53" s="308" t="s">
        <v>331</v>
      </c>
      <c r="C53" s="393" t="s">
        <v>460</v>
      </c>
      <c r="D53" s="309">
        <v>25000</v>
      </c>
      <c r="G53" s="295">
        <v>1</v>
      </c>
      <c r="H53" s="164">
        <f t="shared" si="13"/>
        <v>25000</v>
      </c>
      <c r="I53" s="320">
        <v>1</v>
      </c>
      <c r="J53" s="164">
        <f t="shared" si="14"/>
        <v>25500</v>
      </c>
      <c r="K53" s="321">
        <v>1</v>
      </c>
      <c r="L53" s="301">
        <f t="shared" si="17"/>
        <v>26010</v>
      </c>
      <c r="M53" s="320">
        <v>1</v>
      </c>
      <c r="N53" s="301">
        <f t="shared" si="15"/>
        <v>26530.199999999997</v>
      </c>
      <c r="O53" s="320">
        <v>1</v>
      </c>
      <c r="P53" s="301">
        <f t="shared" si="16"/>
        <v>27060.804</v>
      </c>
      <c r="Q53" s="301">
        <v>112</v>
      </c>
      <c r="R53" s="294">
        <v>1111</v>
      </c>
      <c r="S53" s="294">
        <v>6152</v>
      </c>
      <c r="AL53" s="302"/>
    </row>
    <row r="54" spans="1:38" x14ac:dyDescent="0.15">
      <c r="A54" s="282"/>
      <c r="B54" s="308" t="s">
        <v>331</v>
      </c>
      <c r="C54" s="303"/>
      <c r="D54" s="309">
        <v>25000</v>
      </c>
      <c r="G54" s="295">
        <v>0</v>
      </c>
      <c r="H54" s="164">
        <f t="shared" si="13"/>
        <v>0</v>
      </c>
      <c r="I54" s="320">
        <v>1</v>
      </c>
      <c r="J54" s="164">
        <f t="shared" si="14"/>
        <v>25500</v>
      </c>
      <c r="K54" s="321">
        <v>1</v>
      </c>
      <c r="L54" s="301">
        <f t="shared" si="17"/>
        <v>26010</v>
      </c>
      <c r="M54" s="320">
        <v>1</v>
      </c>
      <c r="N54" s="301">
        <f t="shared" si="15"/>
        <v>26530.199999999997</v>
      </c>
      <c r="O54" s="320">
        <v>1</v>
      </c>
      <c r="P54" s="301">
        <f t="shared" si="16"/>
        <v>27060.804</v>
      </c>
      <c r="Q54" s="301">
        <v>112</v>
      </c>
      <c r="R54" s="294">
        <v>1111</v>
      </c>
      <c r="S54" s="294">
        <v>6152</v>
      </c>
      <c r="AL54" s="302"/>
    </row>
    <row r="55" spans="1:38" x14ac:dyDescent="0.15">
      <c r="A55" s="282"/>
      <c r="B55" s="308" t="s">
        <v>331</v>
      </c>
      <c r="C55" s="303"/>
      <c r="D55" s="309">
        <v>25000</v>
      </c>
      <c r="G55" s="295">
        <v>0</v>
      </c>
      <c r="H55" s="164">
        <f t="shared" ref="H55" si="18">D55*G55</f>
        <v>0</v>
      </c>
      <c r="I55" s="320">
        <v>1</v>
      </c>
      <c r="J55" s="164">
        <f t="shared" ref="J55" si="19">D55*I55*$AL$5</f>
        <v>25500</v>
      </c>
      <c r="K55" s="321">
        <v>1</v>
      </c>
      <c r="L55" s="301">
        <f t="shared" ref="L55" si="20">D55*K55*$AL$6</f>
        <v>26010</v>
      </c>
      <c r="M55" s="320">
        <v>1</v>
      </c>
      <c r="N55" s="301">
        <f t="shared" ref="N55" si="21">D55*M55*$AL$7</f>
        <v>26530.199999999997</v>
      </c>
      <c r="O55" s="320">
        <v>1</v>
      </c>
      <c r="P55" s="301">
        <f t="shared" ref="P55" si="22">D55*O55*$AL$8</f>
        <v>27060.804</v>
      </c>
      <c r="Q55" s="301">
        <v>112</v>
      </c>
      <c r="R55" s="294">
        <v>1111</v>
      </c>
      <c r="S55" s="294">
        <v>6152</v>
      </c>
      <c r="AL55" s="302"/>
    </row>
    <row r="56" spans="1:38" x14ac:dyDescent="0.15">
      <c r="A56" s="282"/>
      <c r="B56" s="308" t="s">
        <v>331</v>
      </c>
      <c r="C56" s="303"/>
      <c r="D56" s="309">
        <v>25000</v>
      </c>
      <c r="G56" s="295">
        <v>0</v>
      </c>
      <c r="H56" s="164">
        <v>0</v>
      </c>
      <c r="I56" s="320">
        <v>3</v>
      </c>
      <c r="J56" s="164">
        <f>D56*I56</f>
        <v>75000</v>
      </c>
      <c r="K56" s="321">
        <v>6</v>
      </c>
      <c r="L56" s="301">
        <f>K56*D56</f>
        <v>150000</v>
      </c>
      <c r="M56" s="320">
        <v>9</v>
      </c>
      <c r="N56" s="301">
        <f>M56*D56</f>
        <v>225000</v>
      </c>
      <c r="O56" s="320">
        <v>12</v>
      </c>
      <c r="P56" s="301">
        <f>D56*O56</f>
        <v>300000</v>
      </c>
      <c r="Q56" s="301">
        <v>112</v>
      </c>
      <c r="R56" s="294">
        <v>1111</v>
      </c>
      <c r="S56" s="294">
        <v>6152</v>
      </c>
      <c r="AL56" s="302"/>
    </row>
    <row r="57" spans="1:38" x14ac:dyDescent="0.15">
      <c r="A57" s="282"/>
      <c r="B57" s="294" t="s">
        <v>256</v>
      </c>
      <c r="C57" s="308" t="s">
        <v>387</v>
      </c>
      <c r="D57" s="300">
        <v>53229</v>
      </c>
      <c r="G57" s="295">
        <v>1</v>
      </c>
      <c r="H57" s="164">
        <v>53229</v>
      </c>
      <c r="I57" s="320">
        <v>1</v>
      </c>
      <c r="J57" s="164">
        <f>D57*I57*$AL$5</f>
        <v>54293.58</v>
      </c>
      <c r="K57" s="321">
        <v>1</v>
      </c>
      <c r="L57" s="301">
        <f>H57*K57*AL6</f>
        <v>55379.4516</v>
      </c>
      <c r="M57" s="320">
        <v>1</v>
      </c>
      <c r="N57" s="301">
        <f>D57*M57*AL7</f>
        <v>56487.040631999997</v>
      </c>
      <c r="O57" s="320">
        <v>1</v>
      </c>
      <c r="P57" s="301">
        <f>D57*O57*AL8</f>
        <v>57616.781444640001</v>
      </c>
      <c r="Q57" s="301">
        <v>112</v>
      </c>
      <c r="R57" s="294">
        <v>2113</v>
      </c>
      <c r="S57" s="294">
        <v>6152</v>
      </c>
      <c r="AL57" s="302"/>
    </row>
    <row r="58" spans="1:38" x14ac:dyDescent="0.15">
      <c r="B58" s="308"/>
      <c r="C58" s="308"/>
      <c r="D58" s="300"/>
      <c r="E58" s="294" t="s">
        <v>144</v>
      </c>
      <c r="G58" s="319">
        <f>SUM(G44:G57)</f>
        <v>10</v>
      </c>
      <c r="H58" s="283">
        <f>SUM(H44:H57)</f>
        <v>295729</v>
      </c>
      <c r="I58" s="319">
        <f t="shared" ref="I58:O58" si="23">SUM(I44:I57)</f>
        <v>16</v>
      </c>
      <c r="J58" s="283">
        <f>SUM(J44:J57)</f>
        <v>472643.58</v>
      </c>
      <c r="K58" s="319">
        <f t="shared" si="23"/>
        <v>19</v>
      </c>
      <c r="L58" s="283">
        <f>SUM(L44:L57)</f>
        <v>556220.69160000002</v>
      </c>
      <c r="M58" s="319">
        <f t="shared" si="23"/>
        <v>22</v>
      </c>
      <c r="N58" s="283">
        <f>SUM(N44:N57)</f>
        <v>639345.10543200001</v>
      </c>
      <c r="O58" s="319">
        <f t="shared" si="23"/>
        <v>25</v>
      </c>
      <c r="P58" s="283">
        <f>SUM(P44:P57)</f>
        <v>722509.58344463992</v>
      </c>
      <c r="Q58" s="283"/>
      <c r="R58" s="282"/>
      <c r="S58" s="282"/>
      <c r="AL58" s="302"/>
    </row>
    <row r="59" spans="1:38" x14ac:dyDescent="0.15">
      <c r="A59" s="282" t="s">
        <v>258</v>
      </c>
      <c r="D59" s="300"/>
      <c r="G59" s="322"/>
      <c r="H59" s="164"/>
      <c r="I59" s="315"/>
      <c r="J59" s="163"/>
      <c r="K59" s="315"/>
      <c r="L59" s="164"/>
      <c r="M59" s="315"/>
      <c r="N59" s="164"/>
      <c r="O59" s="315"/>
      <c r="P59" s="164"/>
      <c r="Q59" s="164"/>
      <c r="AL59" s="302"/>
    </row>
    <row r="60" spans="1:38" x14ac:dyDescent="0.15">
      <c r="A60" s="282"/>
      <c r="D60" s="300"/>
      <c r="G60" s="322"/>
      <c r="H60" s="164"/>
      <c r="I60" s="315"/>
      <c r="J60" s="163"/>
      <c r="K60" s="315"/>
      <c r="L60" s="164"/>
      <c r="M60" s="315"/>
      <c r="N60" s="164"/>
      <c r="O60" s="315"/>
      <c r="P60" s="164"/>
      <c r="Q60" s="164"/>
      <c r="AL60" s="302"/>
    </row>
    <row r="61" spans="1:38" x14ac:dyDescent="0.15">
      <c r="A61" s="282"/>
      <c r="B61" s="294" t="s">
        <v>386</v>
      </c>
      <c r="C61" s="294" t="s">
        <v>381</v>
      </c>
      <c r="D61" s="300">
        <v>55000</v>
      </c>
      <c r="G61" s="295">
        <v>1</v>
      </c>
      <c r="H61" s="164">
        <f>D61*G61</f>
        <v>55000</v>
      </c>
      <c r="I61" s="315">
        <v>1</v>
      </c>
      <c r="J61" s="164">
        <f>D61*I61*$AL5</f>
        <v>56100</v>
      </c>
      <c r="K61" s="321">
        <v>1</v>
      </c>
      <c r="L61" s="164">
        <f>D61*K61*AL6</f>
        <v>57222</v>
      </c>
      <c r="M61" s="321">
        <v>1</v>
      </c>
      <c r="N61" s="301">
        <f>D61*M61*AL7</f>
        <v>58366.439999999995</v>
      </c>
      <c r="O61" s="321">
        <v>1</v>
      </c>
      <c r="P61" s="301">
        <f>D61*O61*AL8</f>
        <v>59533.768799999998</v>
      </c>
      <c r="Q61" s="301">
        <v>112</v>
      </c>
      <c r="R61" s="294">
        <v>2541</v>
      </c>
      <c r="S61" s="294">
        <v>6151</v>
      </c>
      <c r="AL61" s="302"/>
    </row>
    <row r="62" spans="1:38" x14ac:dyDescent="0.15">
      <c r="A62" s="282"/>
      <c r="B62" s="294" t="s">
        <v>461</v>
      </c>
      <c r="C62" s="308"/>
      <c r="D62" s="300">
        <v>48223</v>
      </c>
      <c r="G62" s="295">
        <v>0</v>
      </c>
      <c r="H62" s="164">
        <f>D62*G62</f>
        <v>0</v>
      </c>
      <c r="I62" s="315">
        <v>1</v>
      </c>
      <c r="J62" s="164">
        <f>D62*I62*AL5</f>
        <v>49187.46</v>
      </c>
      <c r="K62" s="321">
        <v>1</v>
      </c>
      <c r="L62" s="164">
        <f>D62*K62*AL6</f>
        <v>50171.209199999998</v>
      </c>
      <c r="M62" s="321">
        <v>1</v>
      </c>
      <c r="N62" s="301">
        <f>D62*M62*AL7</f>
        <v>51174.633383999993</v>
      </c>
      <c r="O62" s="321">
        <v>1</v>
      </c>
      <c r="P62" s="301">
        <f>D62*O62*AL8</f>
        <v>52198.126051679996</v>
      </c>
      <c r="Q62" s="301">
        <v>112</v>
      </c>
      <c r="R62" s="294">
        <v>2541</v>
      </c>
      <c r="S62" s="294">
        <v>6151</v>
      </c>
      <c r="AL62" s="302"/>
    </row>
    <row r="63" spans="1:38" x14ac:dyDescent="0.15">
      <c r="A63" s="282"/>
      <c r="B63" s="294" t="s">
        <v>343</v>
      </c>
      <c r="C63" s="308" t="s">
        <v>360</v>
      </c>
      <c r="D63" s="300">
        <v>40000</v>
      </c>
      <c r="G63" s="295">
        <v>1</v>
      </c>
      <c r="H63" s="164">
        <f>D63*G63</f>
        <v>40000</v>
      </c>
      <c r="I63" s="315">
        <v>1</v>
      </c>
      <c r="J63" s="164">
        <f>D63*I63*$AL$5</f>
        <v>40800</v>
      </c>
      <c r="K63" s="321">
        <v>1</v>
      </c>
      <c r="L63" s="164">
        <f>H63*K63*AL6</f>
        <v>41616</v>
      </c>
      <c r="M63" s="321">
        <v>1</v>
      </c>
      <c r="N63" s="301">
        <f>D63*M63*AL7</f>
        <v>42448.32</v>
      </c>
      <c r="O63" s="321">
        <v>1</v>
      </c>
      <c r="P63" s="301">
        <f>D63*O63*AL8</f>
        <v>43297.286399999997</v>
      </c>
      <c r="Q63" s="301">
        <v>112</v>
      </c>
      <c r="R63" s="294">
        <v>2541</v>
      </c>
      <c r="S63" s="294">
        <v>6151</v>
      </c>
      <c r="AL63" s="302"/>
    </row>
    <row r="64" spans="1:38" x14ac:dyDescent="0.15">
      <c r="A64" s="282"/>
      <c r="B64" s="294" t="s">
        <v>397</v>
      </c>
      <c r="C64" s="303"/>
      <c r="D64" s="300">
        <v>35000</v>
      </c>
      <c r="G64" s="295">
        <v>0</v>
      </c>
      <c r="H64" s="164"/>
      <c r="I64" s="315">
        <v>1</v>
      </c>
      <c r="J64" s="164">
        <f>D64*I64</f>
        <v>35000</v>
      </c>
      <c r="K64" s="321">
        <v>1</v>
      </c>
      <c r="L64" s="164">
        <f>D64*K64*AL5</f>
        <v>35700</v>
      </c>
      <c r="M64" s="321">
        <v>1</v>
      </c>
      <c r="N64" s="301">
        <f>D64*M64*AL6</f>
        <v>36414</v>
      </c>
      <c r="O64" s="321">
        <v>1</v>
      </c>
      <c r="P64" s="301">
        <f>D64*O64*AL7</f>
        <v>37142.28</v>
      </c>
      <c r="Q64" s="301">
        <v>112</v>
      </c>
      <c r="R64" s="294">
        <v>2541</v>
      </c>
      <c r="AL64" s="302"/>
    </row>
    <row r="65" spans="1:38" x14ac:dyDescent="0.15">
      <c r="D65" s="300"/>
      <c r="G65" s="319">
        <f>SUM(G61:G64)</f>
        <v>2</v>
      </c>
      <c r="H65" s="283">
        <f>SUM(H61:H63)</f>
        <v>95000</v>
      </c>
      <c r="I65" s="323">
        <f t="shared" ref="I65:P65" si="24">SUM(I61:I64)</f>
        <v>4</v>
      </c>
      <c r="J65" s="283">
        <f t="shared" si="24"/>
        <v>181087.46</v>
      </c>
      <c r="K65" s="323">
        <f t="shared" si="24"/>
        <v>4</v>
      </c>
      <c r="L65" s="283">
        <f t="shared" si="24"/>
        <v>184709.20919999998</v>
      </c>
      <c r="M65" s="323">
        <f t="shared" si="24"/>
        <v>4</v>
      </c>
      <c r="N65" s="283">
        <f t="shared" si="24"/>
        <v>188403.393384</v>
      </c>
      <c r="O65" s="323">
        <f t="shared" si="24"/>
        <v>4</v>
      </c>
      <c r="P65" s="283">
        <f t="shared" si="24"/>
        <v>192171.46125168001</v>
      </c>
      <c r="Q65" s="283"/>
      <c r="R65" s="282"/>
      <c r="S65" s="282"/>
      <c r="AL65" s="302"/>
    </row>
    <row r="66" spans="1:38" x14ac:dyDescent="0.15">
      <c r="A66" s="282"/>
      <c r="B66" s="308"/>
      <c r="C66" s="308"/>
      <c r="D66" s="309"/>
      <c r="E66" s="311"/>
      <c r="F66" s="311"/>
      <c r="H66" s="164"/>
      <c r="I66" s="324"/>
      <c r="J66" s="164"/>
      <c r="K66" s="325"/>
      <c r="L66" s="164"/>
      <c r="M66" s="317"/>
      <c r="N66" s="164"/>
      <c r="O66" s="315"/>
      <c r="P66" s="164"/>
      <c r="Q66" s="164"/>
      <c r="AL66" s="302"/>
    </row>
    <row r="67" spans="1:38" x14ac:dyDescent="0.15">
      <c r="B67" s="39" t="s">
        <v>92</v>
      </c>
      <c r="C67" s="39"/>
      <c r="D67" s="312"/>
      <c r="G67" s="323">
        <f t="shared" ref="G67:P67" si="25">G65+G58+G41+G35+G10</f>
        <v>35</v>
      </c>
      <c r="H67" s="183">
        <f t="shared" si="25"/>
        <v>1869673.3800000001</v>
      </c>
      <c r="I67" s="323">
        <f t="shared" si="25"/>
        <v>45</v>
      </c>
      <c r="J67" s="183">
        <f t="shared" si="25"/>
        <v>2211754.3075999999</v>
      </c>
      <c r="K67" s="323">
        <f t="shared" si="25"/>
        <v>53</v>
      </c>
      <c r="L67" s="183">
        <f t="shared" si="25"/>
        <v>2602702.0579359997</v>
      </c>
      <c r="M67" s="323">
        <f t="shared" si="25"/>
        <v>63</v>
      </c>
      <c r="N67" s="183">
        <f t="shared" si="25"/>
        <v>3096045.1046947204</v>
      </c>
      <c r="O67" s="323">
        <f t="shared" si="25"/>
        <v>67</v>
      </c>
      <c r="P67" s="183">
        <f t="shared" si="25"/>
        <v>3284839.7308311993</v>
      </c>
      <c r="Q67" s="183"/>
      <c r="AL67" s="302"/>
    </row>
    <row r="68" spans="1:38" x14ac:dyDescent="0.15">
      <c r="E68" s="294" t="s">
        <v>151</v>
      </c>
      <c r="H68" s="308"/>
      <c r="L68" s="308"/>
      <c r="N68" s="308"/>
      <c r="P68" s="308"/>
      <c r="Q68" s="308"/>
    </row>
    <row r="69" spans="1:38" x14ac:dyDescent="0.15">
      <c r="H69" s="308"/>
      <c r="L69" s="308"/>
      <c r="N69" s="308"/>
      <c r="P69" s="308"/>
      <c r="Q69" s="308"/>
    </row>
    <row r="70" spans="1:38" x14ac:dyDescent="0.15">
      <c r="E70" s="313"/>
      <c r="F70" s="313"/>
      <c r="H70" s="305"/>
      <c r="L70" s="308"/>
      <c r="N70" s="308"/>
      <c r="P70" s="308"/>
      <c r="Q70" s="308"/>
    </row>
    <row r="71" spans="1:38" x14ac:dyDescent="0.15">
      <c r="L71" s="308"/>
      <c r="N71" s="308"/>
      <c r="P71" s="308"/>
      <c r="Q71" s="308"/>
    </row>
    <row r="72" spans="1:38" x14ac:dyDescent="0.15">
      <c r="L72" s="308"/>
      <c r="N72" s="308"/>
      <c r="P72" s="308"/>
      <c r="Q72" s="308"/>
    </row>
    <row r="73" spans="1:38" x14ac:dyDescent="0.15">
      <c r="H73" s="307"/>
      <c r="L73" s="308"/>
      <c r="N73" s="308"/>
      <c r="P73" s="308"/>
      <c r="Q73" s="308"/>
    </row>
    <row r="74" spans="1:38" x14ac:dyDescent="0.15">
      <c r="L74" s="308"/>
      <c r="N74" s="308"/>
      <c r="P74" s="308"/>
      <c r="Q74" s="308"/>
    </row>
    <row r="75" spans="1:38" x14ac:dyDescent="0.15">
      <c r="L75" s="308"/>
      <c r="N75" s="308"/>
      <c r="P75" s="308"/>
      <c r="Q75" s="308"/>
    </row>
    <row r="76" spans="1:38" x14ac:dyDescent="0.15">
      <c r="L76" s="308"/>
      <c r="N76" s="308"/>
      <c r="P76" s="308"/>
      <c r="Q76" s="308"/>
    </row>
  </sheetData>
  <mergeCells count="7">
    <mergeCell ref="U3:W3"/>
    <mergeCell ref="X3:Z3"/>
    <mergeCell ref="AA3:AC3"/>
    <mergeCell ref="AO4:AP4"/>
    <mergeCell ref="A1:P1"/>
    <mergeCell ref="AD3:AF3"/>
    <mergeCell ref="AG3:AI3"/>
  </mergeCells>
  <phoneticPr fontId="5" type="noConversion"/>
  <printOptions horizontalCentered="1"/>
  <pageMargins left="0.75" right="0.75" top="1" bottom="1" header="0.5" footer="0.5"/>
  <pageSetup scale="77" orientation="landscape"/>
  <headerFooter alignWithMargins="0"/>
  <ignoredErrors>
    <ignoredError sqref="J30 P30 N30 L30 H17 H32 H20 L19 N19 H15 H28 J16 L16 N16"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43"/>
  <sheetViews>
    <sheetView zoomScale="117" zoomScaleNormal="160" workbookViewId="0">
      <selection activeCell="K8" sqref="K8"/>
    </sheetView>
  </sheetViews>
  <sheetFormatPr baseColWidth="10" defaultColWidth="9.1640625" defaultRowHeight="13" x14ac:dyDescent="0.15"/>
  <cols>
    <col min="1" max="1" width="37.33203125" style="9" customWidth="1"/>
    <col min="2" max="2" width="1.1640625" style="9" hidden="1" customWidth="1"/>
    <col min="3" max="3" width="11" style="9" hidden="1" customWidth="1"/>
    <col min="4" max="4" width="9.83203125" style="9" bestFit="1" customWidth="1"/>
    <col min="5" max="5" width="10.83203125" style="9" customWidth="1"/>
    <col min="6" max="7" width="9.5" style="9" customWidth="1"/>
    <col min="8" max="8" width="10.1640625" style="9" customWidth="1"/>
    <col min="9" max="9" width="1.1640625" style="9" customWidth="1"/>
    <col min="10" max="12" width="20.6640625" style="9" customWidth="1"/>
    <col min="13" max="13" width="9.6640625" style="9" customWidth="1"/>
    <col min="14" max="15" width="13.5" style="9" customWidth="1"/>
    <col min="16" max="16" width="10.33203125" style="9" customWidth="1"/>
    <col min="17" max="17" width="23.1640625" style="9" customWidth="1"/>
    <col min="18" max="22" width="9.1640625" style="9" customWidth="1"/>
    <col min="23" max="16384" width="9.1640625" style="9"/>
  </cols>
  <sheetData>
    <row r="1" spans="1:20" ht="18" x14ac:dyDescent="0.2">
      <c r="A1" s="429" t="s">
        <v>419</v>
      </c>
      <c r="B1" s="429"/>
      <c r="C1" s="429"/>
      <c r="D1" s="429"/>
      <c r="E1" s="429"/>
      <c r="F1" s="429"/>
      <c r="G1" s="429"/>
      <c r="H1" s="429"/>
      <c r="I1" s="429"/>
      <c r="J1" s="429"/>
      <c r="K1" s="429"/>
      <c r="L1" s="429"/>
      <c r="M1" s="429"/>
      <c r="N1" s="429"/>
      <c r="O1" s="429"/>
    </row>
    <row r="2" spans="1:20" ht="14" x14ac:dyDescent="0.15">
      <c r="A2" s="428"/>
      <c r="B2" s="428"/>
      <c r="C2" s="428"/>
      <c r="D2" s="428"/>
      <c r="E2" s="428"/>
      <c r="F2" s="428"/>
      <c r="G2" s="428"/>
      <c r="H2" s="428"/>
      <c r="I2" s="428"/>
      <c r="J2" s="428"/>
      <c r="K2" s="428"/>
      <c r="L2" s="279"/>
    </row>
    <row r="3" spans="1:20" x14ac:dyDescent="0.15">
      <c r="A3" s="162" t="s">
        <v>272</v>
      </c>
      <c r="B3" s="47"/>
      <c r="C3" s="47" t="s">
        <v>143</v>
      </c>
      <c r="D3" s="373" t="s">
        <v>388</v>
      </c>
      <c r="E3" s="373" t="s">
        <v>389</v>
      </c>
      <c r="F3" s="373" t="s">
        <v>390</v>
      </c>
      <c r="G3" s="373" t="s">
        <v>391</v>
      </c>
      <c r="H3" s="373" t="s">
        <v>392</v>
      </c>
      <c r="I3" s="47"/>
      <c r="J3" s="162" t="s">
        <v>273</v>
      </c>
      <c r="K3" s="47"/>
      <c r="L3" s="47" t="s">
        <v>379</v>
      </c>
      <c r="M3" s="280" t="s">
        <v>274</v>
      </c>
      <c r="N3" s="280" t="s">
        <v>275</v>
      </c>
      <c r="O3" s="281" t="s">
        <v>367</v>
      </c>
    </row>
    <row r="4" spans="1:20" ht="14" x14ac:dyDescent="0.15">
      <c r="A4" s="40" t="s">
        <v>263</v>
      </c>
      <c r="B4" s="151"/>
      <c r="C4" s="151"/>
      <c r="D4" s="161">
        <f>$K$4*Enrollment!C12</f>
        <v>15000</v>
      </c>
      <c r="E4" s="161">
        <f>$K$4*Enrollment!D12</f>
        <v>20625</v>
      </c>
      <c r="F4" s="161">
        <f>$K$4*Enrollment!E12</f>
        <v>26250</v>
      </c>
      <c r="G4" s="161">
        <f>$K$4*Enrollment!F12</f>
        <v>31875</v>
      </c>
      <c r="H4" s="161">
        <f>$K$4*Enrollment!G12</f>
        <v>33750</v>
      </c>
      <c r="I4" s="58"/>
      <c r="J4" s="374" t="s">
        <v>450</v>
      </c>
      <c r="K4" s="43">
        <v>75</v>
      </c>
      <c r="L4" s="43">
        <v>112</v>
      </c>
      <c r="M4" s="153">
        <v>1111</v>
      </c>
      <c r="N4" s="153">
        <v>6400</v>
      </c>
      <c r="O4" s="153">
        <v>6431</v>
      </c>
      <c r="R4" s="43"/>
      <c r="S4" s="43"/>
    </row>
    <row r="5" spans="1:20" ht="15" x14ac:dyDescent="0.2">
      <c r="A5" s="40" t="s">
        <v>368</v>
      </c>
      <c r="B5" s="151"/>
      <c r="C5" s="151"/>
      <c r="D5" s="161">
        <f>$K$5*Enrollment!C12</f>
        <v>5000</v>
      </c>
      <c r="E5" s="161">
        <f>$K$5*Enrollment!D12</f>
        <v>6875</v>
      </c>
      <c r="F5" s="161">
        <f>$K$5*Enrollment!E12</f>
        <v>8750</v>
      </c>
      <c r="G5" s="161">
        <f>$K$5*Enrollment!F12</f>
        <v>10625</v>
      </c>
      <c r="H5" s="161">
        <f>$K$5*Enrollment!G12</f>
        <v>11250</v>
      </c>
      <c r="I5" s="58"/>
      <c r="J5" s="43" t="s">
        <v>264</v>
      </c>
      <c r="K5" s="154">
        <v>25</v>
      </c>
      <c r="L5" s="43">
        <v>112</v>
      </c>
      <c r="M5" s="153">
        <v>1111</v>
      </c>
      <c r="N5" s="153">
        <v>6400</v>
      </c>
      <c r="O5" s="153">
        <v>6411</v>
      </c>
      <c r="R5" s="43"/>
      <c r="S5" s="43"/>
    </row>
    <row r="6" spans="1:20" ht="14" x14ac:dyDescent="0.15">
      <c r="A6" s="40" t="s">
        <v>369</v>
      </c>
      <c r="B6" s="43"/>
      <c r="C6" s="43"/>
      <c r="D6" s="188">
        <v>0</v>
      </c>
      <c r="E6" s="188">
        <v>0</v>
      </c>
      <c r="F6" s="188">
        <v>0</v>
      </c>
      <c r="G6" s="188">
        <v>0</v>
      </c>
      <c r="H6" s="188">
        <v>0</v>
      </c>
      <c r="I6" s="51"/>
      <c r="J6" s="185"/>
      <c r="K6" s="148"/>
      <c r="L6" s="43">
        <v>112</v>
      </c>
      <c r="M6" s="153">
        <v>1111</v>
      </c>
      <c r="N6" s="153">
        <v>6300</v>
      </c>
      <c r="O6" s="153">
        <v>6121</v>
      </c>
      <c r="Q6" s="153"/>
      <c r="S6" s="43"/>
      <c r="T6" s="43"/>
    </row>
    <row r="7" spans="1:20" ht="14" x14ac:dyDescent="0.15">
      <c r="A7" s="40" t="s">
        <v>265</v>
      </c>
      <c r="B7" s="151"/>
      <c r="C7" s="151"/>
      <c r="D7" s="161">
        <f>$K$7*Enrollment!C12</f>
        <v>20000</v>
      </c>
      <c r="E7" s="161">
        <f>$K$7*Enrollment!D12</f>
        <v>27500</v>
      </c>
      <c r="F7" s="161">
        <f>$K$7*Enrollment!E12</f>
        <v>35000</v>
      </c>
      <c r="G7" s="161">
        <f>$K$7*Enrollment!F12</f>
        <v>42500</v>
      </c>
      <c r="H7" s="161">
        <f>$K$7*Enrollment!G12</f>
        <v>45000</v>
      </c>
      <c r="I7" s="58"/>
      <c r="J7" s="374" t="s">
        <v>452</v>
      </c>
      <c r="K7" s="58">
        <v>100</v>
      </c>
      <c r="L7" s="43">
        <v>112</v>
      </c>
      <c r="M7" s="152">
        <v>1111</v>
      </c>
      <c r="N7" s="153">
        <v>6400</v>
      </c>
      <c r="O7" s="153">
        <v>6411</v>
      </c>
    </row>
    <row r="8" spans="1:20" ht="15" customHeight="1" x14ac:dyDescent="0.15">
      <c r="A8" s="40" t="s">
        <v>266</v>
      </c>
      <c r="B8" s="151"/>
      <c r="C8" s="151"/>
      <c r="D8" s="161">
        <v>0</v>
      </c>
      <c r="E8" s="161">
        <v>0</v>
      </c>
      <c r="F8" s="161">
        <v>0</v>
      </c>
      <c r="G8" s="161">
        <v>10000</v>
      </c>
      <c r="H8" s="161">
        <v>10000</v>
      </c>
      <c r="I8" s="58"/>
      <c r="J8" s="251"/>
      <c r="K8" s="58"/>
      <c r="L8" s="43">
        <v>112</v>
      </c>
      <c r="M8" s="152">
        <v>1111</v>
      </c>
      <c r="N8" s="153">
        <v>6500</v>
      </c>
      <c r="O8" s="153">
        <v>6412</v>
      </c>
    </row>
    <row r="9" spans="1:20" ht="14" x14ac:dyDescent="0.15">
      <c r="A9" s="40" t="s">
        <v>267</v>
      </c>
      <c r="B9" s="151"/>
      <c r="C9" s="151"/>
      <c r="D9" s="189">
        <v>5000</v>
      </c>
      <c r="E9" s="189">
        <v>6875</v>
      </c>
      <c r="F9" s="189">
        <v>8750</v>
      </c>
      <c r="G9" s="189">
        <v>10625</v>
      </c>
      <c r="H9" s="189">
        <v>11250</v>
      </c>
      <c r="I9" s="58"/>
      <c r="J9" s="374" t="s">
        <v>264</v>
      </c>
      <c r="K9" s="58">
        <v>25</v>
      </c>
      <c r="L9" s="43">
        <v>112</v>
      </c>
      <c r="M9" s="152">
        <v>1111</v>
      </c>
      <c r="N9" s="153">
        <v>6300</v>
      </c>
      <c r="O9" s="153">
        <v>6412</v>
      </c>
    </row>
    <row r="10" spans="1:20" ht="14" x14ac:dyDescent="0.15">
      <c r="A10" s="40" t="s">
        <v>268</v>
      </c>
      <c r="B10" s="151"/>
      <c r="C10" s="151"/>
      <c r="D10" s="189">
        <v>0</v>
      </c>
      <c r="E10" s="189">
        <v>0</v>
      </c>
      <c r="F10" s="189">
        <v>0</v>
      </c>
      <c r="G10" s="189">
        <f>3*$K$10</f>
        <v>12000</v>
      </c>
      <c r="H10" s="189">
        <f>3*$K$10</f>
        <v>12000</v>
      </c>
      <c r="I10" s="155"/>
      <c r="J10" s="43" t="s">
        <v>332</v>
      </c>
      <c r="K10" s="58">
        <v>4000</v>
      </c>
      <c r="L10" s="43">
        <v>112</v>
      </c>
      <c r="M10" s="152">
        <v>1111</v>
      </c>
      <c r="N10" s="153">
        <v>6500</v>
      </c>
      <c r="O10" s="153"/>
    </row>
    <row r="11" spans="1:20" ht="14" x14ac:dyDescent="0.15">
      <c r="A11" s="40" t="s">
        <v>370</v>
      </c>
      <c r="B11" s="151"/>
      <c r="C11" s="151"/>
      <c r="D11" s="161">
        <f>$K$11*6</f>
        <v>1800</v>
      </c>
      <c r="E11" s="161">
        <f>$K$11*2</f>
        <v>600</v>
      </c>
      <c r="F11" s="161">
        <f>$K$11*2</f>
        <v>600</v>
      </c>
      <c r="G11" s="161">
        <f>$K$11*2</f>
        <v>600</v>
      </c>
      <c r="H11" s="161">
        <f>$K$11*2</f>
        <v>600</v>
      </c>
      <c r="I11" s="58"/>
      <c r="J11" s="43" t="s">
        <v>277</v>
      </c>
      <c r="K11" s="58">
        <v>300</v>
      </c>
      <c r="L11" s="43">
        <v>412</v>
      </c>
      <c r="M11" s="153">
        <v>1111</v>
      </c>
      <c r="N11" s="158">
        <v>6500</v>
      </c>
      <c r="O11" s="158">
        <v>6542</v>
      </c>
    </row>
    <row r="12" spans="1:20" ht="14" x14ac:dyDescent="0.15">
      <c r="A12" s="40" t="s">
        <v>269</v>
      </c>
      <c r="B12" s="151"/>
      <c r="C12" s="151"/>
      <c r="D12" s="161">
        <v>0</v>
      </c>
      <c r="E12" s="161">
        <v>0</v>
      </c>
      <c r="F12" s="161">
        <v>0</v>
      </c>
      <c r="G12" s="161">
        <f>$K$12*Enrollment!F12</f>
        <v>4250</v>
      </c>
      <c r="H12" s="161">
        <f>$K$12*Enrollment!G12</f>
        <v>4500</v>
      </c>
      <c r="I12" s="58"/>
      <c r="J12" s="43" t="s">
        <v>271</v>
      </c>
      <c r="K12" s="58">
        <v>10</v>
      </c>
      <c r="L12" s="43">
        <v>112</v>
      </c>
      <c r="M12" s="153">
        <v>1111</v>
      </c>
      <c r="N12" s="158">
        <v>6400</v>
      </c>
      <c r="O12" s="158"/>
    </row>
    <row r="13" spans="1:20" ht="14" x14ac:dyDescent="0.15">
      <c r="A13" s="40" t="s">
        <v>270</v>
      </c>
      <c r="B13" s="151"/>
      <c r="C13" s="151"/>
      <c r="D13" s="161">
        <v>5000</v>
      </c>
      <c r="E13" s="161">
        <f>25*Enrollment!D12</f>
        <v>6875</v>
      </c>
      <c r="F13" s="161">
        <f>25*Enrollment!E12</f>
        <v>8750</v>
      </c>
      <c r="G13" s="161">
        <f>25*Enrollment!F12</f>
        <v>10625</v>
      </c>
      <c r="H13" s="161">
        <f>25*Enrollment!G12</f>
        <v>11250</v>
      </c>
      <c r="I13" s="58"/>
      <c r="J13" s="43" t="s">
        <v>264</v>
      </c>
      <c r="K13" s="58">
        <v>25</v>
      </c>
      <c r="L13" s="43">
        <v>112</v>
      </c>
      <c r="M13" s="153">
        <v>1111</v>
      </c>
      <c r="N13" s="158">
        <v>6400</v>
      </c>
      <c r="O13" s="158"/>
    </row>
    <row r="14" spans="1:20" ht="14" x14ac:dyDescent="0.15">
      <c r="A14" s="40" t="s">
        <v>371</v>
      </c>
      <c r="B14" s="151"/>
      <c r="C14" s="151"/>
      <c r="D14" s="161">
        <v>10000</v>
      </c>
      <c r="E14" s="161">
        <f>K14*7</f>
        <v>7000</v>
      </c>
      <c r="F14" s="161">
        <f>K14*3</f>
        <v>3000</v>
      </c>
      <c r="G14" s="161">
        <v>4000</v>
      </c>
      <c r="H14" s="161">
        <v>3000</v>
      </c>
      <c r="I14" s="58"/>
      <c r="J14" s="43" t="s">
        <v>278</v>
      </c>
      <c r="K14" s="58">
        <v>1000</v>
      </c>
      <c r="L14" s="43">
        <v>112</v>
      </c>
      <c r="M14" s="153">
        <v>1111</v>
      </c>
      <c r="N14" s="158">
        <v>6500</v>
      </c>
      <c r="O14" s="158"/>
    </row>
    <row r="15" spans="1:20" ht="14" x14ac:dyDescent="0.15">
      <c r="A15" s="40" t="s">
        <v>295</v>
      </c>
      <c r="B15" s="151"/>
      <c r="C15" s="151"/>
      <c r="D15" s="161">
        <f>$K$15*Enrollment!C12</f>
        <v>10000</v>
      </c>
      <c r="E15" s="161">
        <f>$K$15*Enrollment!D12</f>
        <v>13750</v>
      </c>
      <c r="F15" s="161">
        <f>$K$15*Enrollment!E12</f>
        <v>17500</v>
      </c>
      <c r="G15" s="161">
        <f>$K$15*Enrollment!F12</f>
        <v>21250</v>
      </c>
      <c r="H15" s="161">
        <f>$K$15*Enrollment!G12</f>
        <v>22500</v>
      </c>
      <c r="I15" s="58"/>
      <c r="J15" s="43" t="s">
        <v>324</v>
      </c>
      <c r="K15" s="58">
        <v>50</v>
      </c>
      <c r="L15" s="43">
        <v>112</v>
      </c>
      <c r="M15" s="153">
        <v>1111</v>
      </c>
      <c r="N15" s="158">
        <v>6300</v>
      </c>
      <c r="O15" s="158">
        <v>6342</v>
      </c>
    </row>
    <row r="16" spans="1:20" ht="14" x14ac:dyDescent="0.15">
      <c r="A16" s="40" t="s">
        <v>230</v>
      </c>
      <c r="B16" s="36"/>
      <c r="C16" s="36"/>
      <c r="D16" s="187">
        <f>$K$16*0.15*Enrollment!C12</f>
        <v>60000</v>
      </c>
      <c r="E16" s="187">
        <f>$K$16*0.15*Enrollment!D12</f>
        <v>82500</v>
      </c>
      <c r="F16" s="187">
        <f>$K$16*0.15*Enrollment!E12</f>
        <v>105000</v>
      </c>
      <c r="G16" s="187">
        <f>$K$16*0.15*Enrollment!F12</f>
        <v>127500</v>
      </c>
      <c r="H16" s="187">
        <f>$K$16*0.15*Enrollment!G12</f>
        <v>135000</v>
      </c>
      <c r="I16" s="169"/>
      <c r="J16" s="160" t="s">
        <v>440</v>
      </c>
      <c r="K16" s="160">
        <v>2000</v>
      </c>
      <c r="L16" s="43">
        <v>112</v>
      </c>
      <c r="M16" s="153">
        <v>1221</v>
      </c>
      <c r="N16" s="153">
        <v>6300</v>
      </c>
      <c r="O16" s="153">
        <v>6311</v>
      </c>
      <c r="R16" s="43"/>
      <c r="T16" s="160"/>
    </row>
    <row r="17" spans="1:17" ht="14" x14ac:dyDescent="0.15">
      <c r="A17" s="40" t="s">
        <v>235</v>
      </c>
      <c r="B17" s="36"/>
      <c r="C17" s="36"/>
      <c r="D17" s="170">
        <f>$K$17*0.15*Enrollment!C12</f>
        <v>3000</v>
      </c>
      <c r="E17" s="170">
        <f>$K$17*0.15*Enrollment!D12</f>
        <v>4125</v>
      </c>
      <c r="F17" s="170">
        <f>$K$17*0.15*Enrollment!E12</f>
        <v>5250</v>
      </c>
      <c r="G17" s="170">
        <f>$K$17*0.15*Enrollment!F12</f>
        <v>6375</v>
      </c>
      <c r="H17" s="170">
        <f>$K$17*0.15*Enrollment!G12</f>
        <v>6750</v>
      </c>
      <c r="I17" s="169"/>
      <c r="J17" s="160" t="s">
        <v>300</v>
      </c>
      <c r="K17" s="160">
        <v>100</v>
      </c>
      <c r="L17" s="43">
        <v>112</v>
      </c>
      <c r="M17" s="153">
        <v>1221</v>
      </c>
      <c r="N17" s="153">
        <v>6400</v>
      </c>
      <c r="O17" s="153">
        <v>6411</v>
      </c>
    </row>
    <row r="18" spans="1:17" ht="14" x14ac:dyDescent="0.15">
      <c r="A18" s="40" t="s">
        <v>425</v>
      </c>
      <c r="B18" s="151"/>
      <c r="C18" s="151"/>
      <c r="D18" s="161">
        <v>3500</v>
      </c>
      <c r="E18" s="161">
        <v>4000</v>
      </c>
      <c r="F18" s="161">
        <v>4000</v>
      </c>
      <c r="G18" s="161">
        <v>4000</v>
      </c>
      <c r="H18" s="161">
        <v>4000</v>
      </c>
      <c r="I18" s="58"/>
      <c r="J18" s="43"/>
      <c r="L18" s="43">
        <v>112</v>
      </c>
      <c r="M18" s="152">
        <v>2125</v>
      </c>
      <c r="N18" s="152">
        <v>6300</v>
      </c>
      <c r="O18" s="152">
        <v>6412</v>
      </c>
    </row>
    <row r="19" spans="1:17" ht="15" x14ac:dyDescent="0.2">
      <c r="A19" s="40" t="s">
        <v>348</v>
      </c>
      <c r="B19" s="151"/>
      <c r="C19" s="151"/>
      <c r="D19" s="161">
        <v>15000</v>
      </c>
      <c r="E19" s="161">
        <v>15000</v>
      </c>
      <c r="F19" s="161">
        <v>15000</v>
      </c>
      <c r="G19" s="161">
        <v>15000</v>
      </c>
      <c r="H19" s="161">
        <v>15000</v>
      </c>
      <c r="I19" s="58"/>
      <c r="J19" s="43" t="s">
        <v>294</v>
      </c>
      <c r="K19" s="154"/>
      <c r="L19" s="43">
        <v>112</v>
      </c>
      <c r="M19" s="152">
        <v>2213</v>
      </c>
      <c r="N19" s="158">
        <v>6300</v>
      </c>
      <c r="O19" s="158">
        <v>6319</v>
      </c>
    </row>
    <row r="20" spans="1:17" ht="14" x14ac:dyDescent="0.15">
      <c r="A20" s="40" t="s">
        <v>424</v>
      </c>
      <c r="B20" s="151"/>
      <c r="C20" s="151"/>
      <c r="D20" s="161">
        <v>4000</v>
      </c>
      <c r="E20" s="161">
        <v>4250</v>
      </c>
      <c r="F20" s="161">
        <v>4500</v>
      </c>
      <c r="G20" s="161">
        <v>4750</v>
      </c>
      <c r="H20" s="161">
        <v>5000</v>
      </c>
      <c r="I20" s="157"/>
      <c r="L20" s="43">
        <v>112</v>
      </c>
      <c r="M20" s="153">
        <v>2311</v>
      </c>
      <c r="N20" s="153">
        <v>6300</v>
      </c>
      <c r="O20" s="153">
        <v>6352</v>
      </c>
      <c r="P20" s="159"/>
    </row>
    <row r="21" spans="1:17" ht="14" x14ac:dyDescent="0.15">
      <c r="A21" s="40" t="s">
        <v>423</v>
      </c>
      <c r="B21" s="151"/>
      <c r="C21" s="151"/>
      <c r="D21" s="161">
        <v>4500</v>
      </c>
      <c r="E21" s="161">
        <v>5000</v>
      </c>
      <c r="F21" s="161">
        <v>5500</v>
      </c>
      <c r="G21" s="161">
        <v>6000</v>
      </c>
      <c r="H21" s="161">
        <v>6500</v>
      </c>
      <c r="I21" s="157"/>
      <c r="L21" s="43">
        <v>112</v>
      </c>
      <c r="M21" s="153">
        <v>2311</v>
      </c>
      <c r="N21" s="153">
        <v>6200</v>
      </c>
      <c r="O21" s="153">
        <v>6261</v>
      </c>
      <c r="P21" s="159"/>
    </row>
    <row r="22" spans="1:17" ht="14" x14ac:dyDescent="0.15">
      <c r="A22" s="40" t="s">
        <v>325</v>
      </c>
      <c r="B22" s="151"/>
      <c r="C22" s="151"/>
      <c r="D22" s="161">
        <v>5000</v>
      </c>
      <c r="E22" s="161">
        <v>6000</v>
      </c>
      <c r="F22" s="161">
        <v>14000</v>
      </c>
      <c r="G22" s="161">
        <v>16000</v>
      </c>
      <c r="H22" s="161">
        <v>18000</v>
      </c>
      <c r="I22" s="157"/>
      <c r="L22" s="43">
        <v>112</v>
      </c>
      <c r="M22" s="153">
        <v>2311</v>
      </c>
      <c r="N22" s="153">
        <v>6300</v>
      </c>
      <c r="O22" s="153">
        <v>6352</v>
      </c>
      <c r="P22" s="159"/>
    </row>
    <row r="23" spans="1:17" ht="14" x14ac:dyDescent="0.15">
      <c r="A23" s="40" t="s">
        <v>136</v>
      </c>
      <c r="B23" s="36"/>
      <c r="C23" s="36"/>
      <c r="D23" s="188">
        <v>10000</v>
      </c>
      <c r="E23" s="188">
        <v>12000</v>
      </c>
      <c r="F23" s="188">
        <v>14000</v>
      </c>
      <c r="G23" s="188">
        <v>16000</v>
      </c>
      <c r="H23" s="188">
        <v>18000</v>
      </c>
      <c r="I23" s="7"/>
      <c r="J23" s="147"/>
      <c r="K23" s="147"/>
      <c r="L23" s="43">
        <v>112</v>
      </c>
      <c r="M23" s="153">
        <v>2311</v>
      </c>
      <c r="N23" s="153">
        <v>6300</v>
      </c>
      <c r="O23" s="153">
        <v>6317</v>
      </c>
    </row>
    <row r="24" spans="1:17" ht="14" x14ac:dyDescent="0.15">
      <c r="A24" s="40" t="s">
        <v>137</v>
      </c>
      <c r="B24" s="36"/>
      <c r="C24" s="36"/>
      <c r="D24" s="188">
        <v>15000</v>
      </c>
      <c r="E24" s="188">
        <v>15000</v>
      </c>
      <c r="F24" s="188">
        <v>15000</v>
      </c>
      <c r="G24" s="188">
        <v>15000</v>
      </c>
      <c r="H24" s="188">
        <v>15000</v>
      </c>
      <c r="I24" s="51"/>
      <c r="J24" s="148"/>
      <c r="K24" s="148"/>
      <c r="L24" s="43">
        <v>112</v>
      </c>
      <c r="M24" s="153">
        <v>2311</v>
      </c>
      <c r="N24" s="153">
        <v>6300</v>
      </c>
      <c r="O24" s="153">
        <v>2315</v>
      </c>
    </row>
    <row r="25" spans="1:17" ht="14" x14ac:dyDescent="0.15">
      <c r="A25" s="40" t="s">
        <v>346</v>
      </c>
      <c r="B25" s="151"/>
      <c r="C25" s="151"/>
      <c r="D25" s="189">
        <v>1000</v>
      </c>
      <c r="E25" s="189">
        <v>1500</v>
      </c>
      <c r="F25" s="189">
        <v>2000</v>
      </c>
      <c r="G25" s="189">
        <v>2500</v>
      </c>
      <c r="H25" s="189">
        <v>3000</v>
      </c>
      <c r="I25" s="58"/>
      <c r="L25" s="43">
        <v>112</v>
      </c>
      <c r="M25" s="152">
        <v>2411</v>
      </c>
      <c r="N25" s="152">
        <v>6300</v>
      </c>
      <c r="O25" s="152">
        <v>6371</v>
      </c>
      <c r="Q25" s="43"/>
    </row>
    <row r="26" spans="1:17" ht="14" x14ac:dyDescent="0.15">
      <c r="A26" s="40" t="s">
        <v>373</v>
      </c>
      <c r="B26" s="151"/>
      <c r="C26" s="151"/>
      <c r="D26" s="189">
        <v>2000</v>
      </c>
      <c r="E26" s="189">
        <v>2000</v>
      </c>
      <c r="F26" s="189">
        <v>2000</v>
      </c>
      <c r="G26" s="189">
        <v>2000</v>
      </c>
      <c r="H26" s="189">
        <v>2000</v>
      </c>
      <c r="I26" s="58"/>
      <c r="L26" s="43">
        <v>112</v>
      </c>
      <c r="M26" s="152">
        <v>2321</v>
      </c>
      <c r="N26" s="152">
        <v>6400</v>
      </c>
      <c r="O26" s="152">
        <v>6419</v>
      </c>
      <c r="Q26" s="43"/>
    </row>
    <row r="27" spans="1:17" ht="14" x14ac:dyDescent="0.15">
      <c r="A27" s="40" t="s">
        <v>374</v>
      </c>
      <c r="B27" s="151"/>
      <c r="C27" s="151"/>
      <c r="D27" s="189">
        <v>2000</v>
      </c>
      <c r="E27" s="189">
        <v>2000</v>
      </c>
      <c r="F27" s="189">
        <v>2000</v>
      </c>
      <c r="G27" s="189">
        <v>2000</v>
      </c>
      <c r="H27" s="189">
        <v>2000</v>
      </c>
      <c r="I27" s="58"/>
      <c r="L27" s="43">
        <v>112</v>
      </c>
      <c r="M27" s="152">
        <v>2411</v>
      </c>
      <c r="N27" s="152">
        <v>6400</v>
      </c>
      <c r="O27" s="152">
        <v>6419</v>
      </c>
      <c r="Q27" s="43"/>
    </row>
    <row r="28" spans="1:17" ht="14" x14ac:dyDescent="0.15">
      <c r="A28" s="40" t="s">
        <v>345</v>
      </c>
      <c r="B28" s="151"/>
      <c r="C28" s="151"/>
      <c r="D28" s="189">
        <v>1800</v>
      </c>
      <c r="E28" s="189">
        <v>1800</v>
      </c>
      <c r="F28" s="189">
        <v>1800</v>
      </c>
      <c r="G28" s="189">
        <v>1800</v>
      </c>
      <c r="H28" s="189">
        <v>1800</v>
      </c>
      <c r="I28" s="156"/>
      <c r="J28" s="43" t="s">
        <v>326</v>
      </c>
      <c r="L28" s="43">
        <v>112</v>
      </c>
      <c r="M28" s="152">
        <v>2511</v>
      </c>
      <c r="N28" s="152">
        <v>6300</v>
      </c>
      <c r="O28" s="152">
        <v>6319</v>
      </c>
      <c r="Q28" s="43"/>
    </row>
    <row r="29" spans="1:17" ht="15" x14ac:dyDescent="0.2">
      <c r="A29" s="40" t="s">
        <v>372</v>
      </c>
      <c r="B29" s="151"/>
      <c r="C29" s="151"/>
      <c r="D29" s="189">
        <v>6000</v>
      </c>
      <c r="E29" s="189">
        <v>6000</v>
      </c>
      <c r="F29" s="189">
        <v>6180</v>
      </c>
      <c r="G29" s="189">
        <v>6400</v>
      </c>
      <c r="H29" s="189">
        <v>6750</v>
      </c>
      <c r="I29" s="58"/>
      <c r="J29" s="154"/>
      <c r="K29" s="154"/>
      <c r="L29" s="43">
        <v>112</v>
      </c>
      <c r="M29" s="152">
        <v>2511</v>
      </c>
      <c r="N29" s="152">
        <v>6300</v>
      </c>
      <c r="O29" s="158">
        <v>6412</v>
      </c>
      <c r="Q29" s="43"/>
    </row>
    <row r="30" spans="1:17" ht="14" x14ac:dyDescent="0.15">
      <c r="A30" s="40" t="s">
        <v>322</v>
      </c>
      <c r="B30" s="36"/>
      <c r="C30" s="36"/>
      <c r="D30" s="191">
        <v>50000</v>
      </c>
      <c r="E30" s="191">
        <v>50000</v>
      </c>
      <c r="F30" s="191">
        <v>50000</v>
      </c>
      <c r="G30" s="191">
        <v>50000</v>
      </c>
      <c r="H30" s="191">
        <v>50000</v>
      </c>
      <c r="I30" s="7"/>
      <c r="J30" s="147"/>
      <c r="K30" s="147"/>
      <c r="L30" s="43">
        <v>112</v>
      </c>
      <c r="M30" s="153">
        <v>2511</v>
      </c>
      <c r="N30" s="153">
        <v>6300</v>
      </c>
      <c r="O30" s="153">
        <v>6319</v>
      </c>
      <c r="Q30" s="42"/>
    </row>
    <row r="31" spans="1:17" ht="14" x14ac:dyDescent="0.15">
      <c r="A31" s="40" t="s">
        <v>146</v>
      </c>
      <c r="D31" s="191">
        <v>2000</v>
      </c>
      <c r="E31" s="191">
        <v>2000</v>
      </c>
      <c r="F31" s="191">
        <v>5000</v>
      </c>
      <c r="G31" s="191">
        <v>5000</v>
      </c>
      <c r="H31" s="191">
        <v>5000</v>
      </c>
      <c r="I31" s="7"/>
      <c r="J31" s="184" t="s">
        <v>318</v>
      </c>
      <c r="K31" s="147"/>
      <c r="L31" s="43">
        <v>112</v>
      </c>
      <c r="M31" s="153">
        <v>2511</v>
      </c>
      <c r="N31" s="153">
        <v>6300</v>
      </c>
      <c r="O31" s="153">
        <v>6334</v>
      </c>
      <c r="Q31" s="42"/>
    </row>
    <row r="32" spans="1:17" ht="14" x14ac:dyDescent="0.15">
      <c r="A32" s="40" t="s">
        <v>375</v>
      </c>
      <c r="B32" s="151"/>
      <c r="C32" s="151"/>
      <c r="D32" s="189">
        <v>7000</v>
      </c>
      <c r="E32" s="189">
        <v>7000</v>
      </c>
      <c r="F32" s="189">
        <v>7000</v>
      </c>
      <c r="G32" s="189">
        <v>7000</v>
      </c>
      <c r="H32" s="189">
        <v>7000</v>
      </c>
      <c r="I32" s="58"/>
      <c r="J32" s="43"/>
      <c r="L32" s="43">
        <v>112</v>
      </c>
      <c r="M32" s="152">
        <v>2511</v>
      </c>
      <c r="N32" s="152">
        <v>6400</v>
      </c>
      <c r="O32" s="152">
        <v>6411</v>
      </c>
      <c r="Q32" s="43"/>
    </row>
    <row r="33" spans="1:15" ht="14" x14ac:dyDescent="0.15">
      <c r="A33" s="40" t="s">
        <v>195</v>
      </c>
      <c r="B33" s="151"/>
      <c r="C33" s="151"/>
      <c r="D33" s="189">
        <v>19392</v>
      </c>
      <c r="E33" s="189">
        <v>19392</v>
      </c>
      <c r="F33" s="69">
        <v>40000</v>
      </c>
      <c r="G33" s="69">
        <v>40000</v>
      </c>
      <c r="H33" s="69">
        <v>40000</v>
      </c>
      <c r="I33" s="157"/>
      <c r="J33" s="185"/>
      <c r="M33" s="153">
        <v>2541</v>
      </c>
      <c r="N33" s="153">
        <v>6300</v>
      </c>
      <c r="O33" s="153"/>
    </row>
    <row r="34" spans="1:15" ht="14" x14ac:dyDescent="0.15">
      <c r="A34" s="40" t="s">
        <v>422</v>
      </c>
      <c r="B34" s="151"/>
      <c r="C34" s="151"/>
      <c r="D34" s="189">
        <v>15000</v>
      </c>
      <c r="E34" s="189">
        <v>15000</v>
      </c>
      <c r="F34" s="189">
        <v>0</v>
      </c>
      <c r="G34" s="189">
        <v>0</v>
      </c>
      <c r="H34" s="189">
        <v>0</v>
      </c>
      <c r="I34" s="156"/>
      <c r="J34" s="185"/>
      <c r="M34" s="152">
        <v>2541</v>
      </c>
      <c r="N34" s="153">
        <v>6400</v>
      </c>
      <c r="O34" s="153"/>
    </row>
    <row r="35" spans="1:15" ht="14" x14ac:dyDescent="0.15">
      <c r="A35" s="40" t="s">
        <v>376</v>
      </c>
      <c r="B35" s="151"/>
      <c r="C35" s="151"/>
      <c r="D35" s="189">
        <v>3000</v>
      </c>
      <c r="E35" s="189">
        <v>3000</v>
      </c>
      <c r="F35" s="189">
        <v>3000</v>
      </c>
      <c r="G35" s="189">
        <v>3000</v>
      </c>
      <c r="H35" s="189">
        <v>3000</v>
      </c>
      <c r="I35" s="156"/>
      <c r="J35" s="185"/>
      <c r="M35" s="152">
        <v>2541</v>
      </c>
      <c r="N35" s="153">
        <v>6400</v>
      </c>
      <c r="O35" s="153"/>
    </row>
    <row r="36" spans="1:15" ht="14" x14ac:dyDescent="0.15">
      <c r="A36" s="40" t="s">
        <v>234</v>
      </c>
      <c r="B36" s="151"/>
      <c r="C36" s="151"/>
      <c r="D36" s="189">
        <f>5.7*175*'REVENUE CALC'!D3</f>
        <v>185535</v>
      </c>
      <c r="E36" s="189">
        <f>5*174*'REVENUE CALC'!D4</f>
        <v>222502.5</v>
      </c>
      <c r="F36" s="189">
        <f>5*174*'REVENUE CALC'!D5</f>
        <v>283185</v>
      </c>
      <c r="G36" s="189">
        <f>5*174*'REVENUE CALC'!D6</f>
        <v>343867.5</v>
      </c>
      <c r="H36" s="189">
        <f>5*174*'REVENUE CALC'!D7</f>
        <v>364095</v>
      </c>
      <c r="I36" s="157"/>
      <c r="J36" s="374" t="s">
        <v>421</v>
      </c>
      <c r="K36" s="377">
        <v>5.7</v>
      </c>
      <c r="L36" s="43">
        <v>512</v>
      </c>
      <c r="M36" s="153">
        <v>2563</v>
      </c>
      <c r="N36" s="153">
        <v>6400</v>
      </c>
      <c r="O36" s="153">
        <v>6391</v>
      </c>
    </row>
    <row r="37" spans="1:15" ht="14" x14ac:dyDescent="0.15">
      <c r="A37" s="40" t="s">
        <v>377</v>
      </c>
      <c r="B37" s="151"/>
      <c r="C37" s="151"/>
      <c r="D37" s="189">
        <v>5000</v>
      </c>
      <c r="E37" s="189">
        <v>5000</v>
      </c>
      <c r="F37" s="189">
        <v>5000</v>
      </c>
      <c r="G37" s="189">
        <v>5000</v>
      </c>
      <c r="H37" s="189">
        <v>5000</v>
      </c>
      <c r="I37" s="157"/>
      <c r="J37" s="43"/>
      <c r="K37" s="189"/>
      <c r="L37" s="43">
        <v>112</v>
      </c>
      <c r="M37" s="152">
        <v>2642</v>
      </c>
      <c r="N37" s="152">
        <v>6300</v>
      </c>
      <c r="O37" s="152">
        <v>6362</v>
      </c>
    </row>
    <row r="38" spans="1:15" ht="14" x14ac:dyDescent="0.15">
      <c r="A38" s="40" t="s">
        <v>297</v>
      </c>
      <c r="B38" s="151"/>
      <c r="C38" s="151"/>
      <c r="D38" s="189">
        <v>1000</v>
      </c>
      <c r="E38" s="189">
        <v>0</v>
      </c>
      <c r="F38" s="189">
        <v>0</v>
      </c>
      <c r="G38" s="189">
        <v>0</v>
      </c>
      <c r="H38" s="189">
        <v>0</v>
      </c>
      <c r="I38" s="58"/>
      <c r="L38" s="43">
        <v>112</v>
      </c>
      <c r="M38" s="152">
        <v>2642</v>
      </c>
      <c r="N38" s="152">
        <v>6300</v>
      </c>
      <c r="O38" s="152">
        <v>6362</v>
      </c>
    </row>
    <row r="39" spans="1:15" ht="14" x14ac:dyDescent="0.15">
      <c r="A39" s="40" t="s">
        <v>233</v>
      </c>
      <c r="D39" s="188">
        <v>5000</v>
      </c>
      <c r="E39" s="188">
        <v>5000</v>
      </c>
      <c r="F39" s="188">
        <f>150*Enrollment!E12</f>
        <v>52500</v>
      </c>
      <c r="G39" s="188">
        <f>150*Enrollment!F12</f>
        <v>63750</v>
      </c>
      <c r="H39" s="188">
        <f>150*Enrollment!G12</f>
        <v>67500</v>
      </c>
      <c r="I39" s="7"/>
      <c r="J39" s="184" t="s">
        <v>282</v>
      </c>
      <c r="K39" s="147">
        <v>150</v>
      </c>
      <c r="L39" s="43">
        <v>112</v>
      </c>
      <c r="M39" s="153">
        <v>2331</v>
      </c>
      <c r="N39" s="153">
        <v>6300</v>
      </c>
      <c r="O39" s="153">
        <v>6316</v>
      </c>
    </row>
    <row r="40" spans="1:15" ht="14" x14ac:dyDescent="0.15">
      <c r="A40" s="40" t="s">
        <v>296</v>
      </c>
      <c r="B40" s="151"/>
      <c r="C40" s="151"/>
      <c r="D40" s="189">
        <v>1500</v>
      </c>
      <c r="E40" s="189">
        <v>1500</v>
      </c>
      <c r="F40" s="189">
        <v>2000</v>
      </c>
      <c r="G40" s="189">
        <v>2500</v>
      </c>
      <c r="H40" s="189">
        <v>3000</v>
      </c>
      <c r="I40" s="58"/>
      <c r="J40" s="43" t="s">
        <v>298</v>
      </c>
      <c r="L40" s="43">
        <v>112</v>
      </c>
      <c r="M40" s="152">
        <v>1111</v>
      </c>
      <c r="N40" s="152">
        <v>6400</v>
      </c>
      <c r="O40" s="152">
        <v>6411</v>
      </c>
    </row>
    <row r="41" spans="1:15" ht="14" x14ac:dyDescent="0.15">
      <c r="A41" s="40" t="s">
        <v>327</v>
      </c>
      <c r="D41" s="189">
        <v>0</v>
      </c>
      <c r="E41" s="189">
        <v>0</v>
      </c>
      <c r="F41" s="189">
        <v>0</v>
      </c>
      <c r="G41" s="189">
        <v>0</v>
      </c>
      <c r="H41" s="189">
        <v>0</v>
      </c>
      <c r="L41" s="43">
        <v>112</v>
      </c>
      <c r="M41" s="152">
        <v>2551</v>
      </c>
      <c r="N41" s="152">
        <v>6300</v>
      </c>
      <c r="O41" s="152"/>
    </row>
    <row r="42" spans="1:15" ht="14" x14ac:dyDescent="0.15">
      <c r="A42" s="40" t="s">
        <v>378</v>
      </c>
      <c r="D42" s="189">
        <v>0</v>
      </c>
      <c r="M42" s="152">
        <v>4051</v>
      </c>
      <c r="O42" s="152">
        <v>6521</v>
      </c>
    </row>
    <row r="43" spans="1:15" ht="14" x14ac:dyDescent="0.15">
      <c r="A43" s="375" t="s">
        <v>420</v>
      </c>
      <c r="D43" s="376">
        <f>SUM(D4:D42)</f>
        <v>499027</v>
      </c>
      <c r="E43" s="376">
        <f>SUM(E4:E42)</f>
        <v>581669.5</v>
      </c>
      <c r="F43" s="376">
        <f>SUM(F4:F42)</f>
        <v>752515</v>
      </c>
      <c r="G43" s="376">
        <f>SUM(G4:G42)</f>
        <v>903792.5</v>
      </c>
      <c r="H43" s="376">
        <f>SUM(H4:H42)</f>
        <v>948495</v>
      </c>
    </row>
  </sheetData>
  <autoFilter ref="A3:V43" xr:uid="{00000000-0009-0000-0000-000008000000}"/>
  <mergeCells count="2">
    <mergeCell ref="A2:K2"/>
    <mergeCell ref="A1:O1"/>
  </mergeCells>
  <pageMargins left="0.7" right="0.7" top="0.75" bottom="0.75" header="0.3" footer="0.3"/>
  <pageSetup scale="79"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budget assumptions</vt:lpstr>
      <vt:lpstr>5-Year Budget</vt:lpstr>
      <vt:lpstr>Year 1 Cash Flow</vt:lpstr>
      <vt:lpstr>Expend by Function</vt:lpstr>
      <vt:lpstr>Operation of Plant</vt:lpstr>
      <vt:lpstr>Enrollment</vt:lpstr>
      <vt:lpstr>REVENUE CALC</vt:lpstr>
      <vt:lpstr>Staffing Wksht</vt:lpstr>
      <vt:lpstr>6300 and 6400</vt:lpstr>
      <vt:lpstr>Contract Services Wksht</vt:lpstr>
      <vt:lpstr>benefit breakdown</vt:lpstr>
      <vt:lpstr>Local Revenue Worksheet</vt:lpstr>
      <vt:lpstr>State Revenue Worksheet</vt:lpstr>
      <vt:lpstr>Federal Revenue Worksheet</vt:lpstr>
      <vt:lpstr>'5-Year Budget'!Print_Area</vt:lpstr>
      <vt:lpstr>'6300 and 6400'!Print_Area</vt:lpstr>
      <vt:lpstr>'budget assumptions'!Print_Area</vt:lpstr>
      <vt:lpstr>'Federal Revenue Worksheet'!Print_Area</vt:lpstr>
      <vt:lpstr>'Local Revenue Worksheet'!Print_Area</vt:lpstr>
      <vt:lpstr>'Operation of Plant'!Print_Area</vt:lpstr>
      <vt:lpstr>'REVENUE CALC'!Print_Area</vt:lpstr>
      <vt:lpstr>'Staffing Wksht'!Print_Area</vt:lpstr>
      <vt:lpstr>'State Revenue Worksheet'!Print_Area</vt:lpstr>
      <vt:lpstr>'Year 1 Cash Flow'!Print_Area</vt:lpstr>
    </vt:vector>
  </TitlesOfParts>
  <Company>Genesis School,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Shannon Spradling</dc:creator>
  <cp:lastModifiedBy>Microsoft Office User</cp:lastModifiedBy>
  <cp:lastPrinted>2021-06-04T21:47:32Z</cp:lastPrinted>
  <dcterms:created xsi:type="dcterms:W3CDTF">1997-09-05T14:51:36Z</dcterms:created>
  <dcterms:modified xsi:type="dcterms:W3CDTF">2022-06-27T10:53:59Z</dcterms:modified>
</cp:coreProperties>
</file>